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3288" yWindow="3816" windowWidth="15600" windowHeight="10008"/>
  </bookViews>
  <sheets>
    <sheet name="OBSERVATIONS" sheetId="1" r:id="rId1"/>
    <sheet name="TABLE (observations)" sheetId="2" r:id="rId2"/>
  </sheets>
  <definedNames>
    <definedName name="_xlnm.Print_Area" localSheetId="0">OBSERVATIONS!$P$7:$BP$44</definedName>
  </definedNames>
  <calcPr calcId="125725"/>
</workbook>
</file>

<file path=xl/calcChain.xml><?xml version="1.0" encoding="utf-8"?>
<calcChain xmlns="http://schemas.openxmlformats.org/spreadsheetml/2006/main">
  <c r="K4" i="2"/>
  <c r="DI4" s="1"/>
  <c r="U7" i="1"/>
  <c r="K7" i="2"/>
  <c r="AC19" i="1" s="1"/>
  <c r="AO13"/>
  <c r="AC17"/>
  <c r="AO12"/>
  <c r="U10"/>
  <c r="K6" i="2"/>
  <c r="FS6"/>
  <c r="K5"/>
  <c r="BI5" s="1"/>
  <c r="D60"/>
  <c r="C60"/>
  <c r="F60"/>
  <c r="G60"/>
  <c r="H60"/>
  <c r="EN4"/>
  <c r="EN6"/>
  <c r="EN5"/>
  <c r="D59"/>
  <c r="F59"/>
  <c r="C59"/>
  <c r="E59"/>
  <c r="G59"/>
  <c r="J59" s="1"/>
  <c r="AA67" s="1"/>
  <c r="H59"/>
  <c r="D58"/>
  <c r="F58"/>
  <c r="C58"/>
  <c r="E58"/>
  <c r="G58"/>
  <c r="I58" s="1"/>
  <c r="H58"/>
  <c r="D57"/>
  <c r="F57"/>
  <c r="J57" s="1"/>
  <c r="AA65" s="1"/>
  <c r="C57"/>
  <c r="G57"/>
  <c r="H57"/>
  <c r="D56"/>
  <c r="F56"/>
  <c r="C56"/>
  <c r="E56"/>
  <c r="G56"/>
  <c r="J56" s="1"/>
  <c r="AA64" s="1"/>
  <c r="H56"/>
  <c r="D55"/>
  <c r="F55"/>
  <c r="C55"/>
  <c r="G55"/>
  <c r="H55"/>
  <c r="D54"/>
  <c r="F54"/>
  <c r="C54"/>
  <c r="E54"/>
  <c r="I54" s="1"/>
  <c r="G54"/>
  <c r="H54"/>
  <c r="HD4"/>
  <c r="HD6"/>
  <c r="HD5"/>
  <c r="D53"/>
  <c r="F53"/>
  <c r="C53"/>
  <c r="E53"/>
  <c r="G53"/>
  <c r="I53" s="1"/>
  <c r="H53"/>
  <c r="D52"/>
  <c r="F52"/>
  <c r="C52"/>
  <c r="E52"/>
  <c r="G52"/>
  <c r="H52"/>
  <c r="D51"/>
  <c r="F51"/>
  <c r="C51"/>
  <c r="G51"/>
  <c r="H51"/>
  <c r="I51" s="1"/>
  <c r="D50"/>
  <c r="C50"/>
  <c r="F50"/>
  <c r="G50"/>
  <c r="H50"/>
  <c r="D49"/>
  <c r="C49"/>
  <c r="E49"/>
  <c r="I49" s="1"/>
  <c r="G49"/>
  <c r="H49"/>
  <c r="D48"/>
  <c r="F48"/>
  <c r="C48"/>
  <c r="G48"/>
  <c r="H48"/>
  <c r="D47"/>
  <c r="C47"/>
  <c r="E47"/>
  <c r="I47" s="1"/>
  <c r="G47"/>
  <c r="H47"/>
  <c r="D46"/>
  <c r="F46"/>
  <c r="C46"/>
  <c r="G46"/>
  <c r="H46"/>
  <c r="D45"/>
  <c r="E45"/>
  <c r="C45"/>
  <c r="G45"/>
  <c r="H45"/>
  <c r="I45" s="1"/>
  <c r="D44"/>
  <c r="F44"/>
  <c r="J44"/>
  <c r="AA51" s="1"/>
  <c r="C44"/>
  <c r="G44"/>
  <c r="H44"/>
  <c r="D43"/>
  <c r="C43"/>
  <c r="E43"/>
  <c r="G43"/>
  <c r="H43"/>
  <c r="D42"/>
  <c r="F42"/>
  <c r="C42"/>
  <c r="G42"/>
  <c r="H42"/>
  <c r="D41"/>
  <c r="C41"/>
  <c r="E41"/>
  <c r="G41"/>
  <c r="I41" s="1"/>
  <c r="H41"/>
  <c r="DG4"/>
  <c r="DG6"/>
  <c r="DG5"/>
  <c r="D40"/>
  <c r="F40"/>
  <c r="C40"/>
  <c r="E40"/>
  <c r="I40" s="1"/>
  <c r="G40"/>
  <c r="H40"/>
  <c r="J40" s="1"/>
  <c r="AA46" s="1"/>
  <c r="AI46" s="1"/>
  <c r="D39"/>
  <c r="C39"/>
  <c r="E39"/>
  <c r="F39"/>
  <c r="G39"/>
  <c r="H39"/>
  <c r="J39" s="1"/>
  <c r="AA45" s="1"/>
  <c r="D38"/>
  <c r="F38"/>
  <c r="J38" s="1"/>
  <c r="AA44" s="1"/>
  <c r="AI44" s="1"/>
  <c r="C38"/>
  <c r="G38"/>
  <c r="I38" s="1"/>
  <c r="H38"/>
  <c r="E38"/>
  <c r="FU4"/>
  <c r="FU6"/>
  <c r="FU5"/>
  <c r="D37"/>
  <c r="F37"/>
  <c r="J37" s="1"/>
  <c r="AA42" s="1"/>
  <c r="C37"/>
  <c r="E37"/>
  <c r="I37" s="1"/>
  <c r="G37"/>
  <c r="H37"/>
  <c r="D36"/>
  <c r="C36"/>
  <c r="E36"/>
  <c r="F36"/>
  <c r="G36"/>
  <c r="H36"/>
  <c r="I36" s="1"/>
  <c r="D35"/>
  <c r="C35"/>
  <c r="E35"/>
  <c r="I35" s="1"/>
  <c r="F35"/>
  <c r="G35"/>
  <c r="H35"/>
  <c r="D34"/>
  <c r="F34"/>
  <c r="C34"/>
  <c r="E34"/>
  <c r="G34"/>
  <c r="J34" s="1"/>
  <c r="AA39" s="1"/>
  <c r="AI39" s="1"/>
  <c r="H34"/>
  <c r="D33"/>
  <c r="F33"/>
  <c r="C33"/>
  <c r="E33"/>
  <c r="G33"/>
  <c r="I33" s="1"/>
  <c r="H33"/>
  <c r="D32"/>
  <c r="F32"/>
  <c r="C32"/>
  <c r="G32"/>
  <c r="H32"/>
  <c r="D31"/>
  <c r="F31"/>
  <c r="C31"/>
  <c r="E31"/>
  <c r="G31"/>
  <c r="H31"/>
  <c r="J31" s="1"/>
  <c r="AA36" s="1"/>
  <c r="D30"/>
  <c r="F30"/>
  <c r="C30"/>
  <c r="G30"/>
  <c r="H30"/>
  <c r="D29"/>
  <c r="F29"/>
  <c r="C29"/>
  <c r="E29"/>
  <c r="G29"/>
  <c r="J29" s="1"/>
  <c r="AA34" s="1"/>
  <c r="H29"/>
  <c r="D28"/>
  <c r="F28"/>
  <c r="C28"/>
  <c r="G28"/>
  <c r="H28"/>
  <c r="D27"/>
  <c r="F27"/>
  <c r="C27"/>
  <c r="E27"/>
  <c r="I27" s="1"/>
  <c r="G27"/>
  <c r="H27"/>
  <c r="J27" s="1"/>
  <c r="AA32" s="1"/>
  <c r="AI32" s="1"/>
  <c r="D26"/>
  <c r="F26"/>
  <c r="J26" s="1"/>
  <c r="AA31" s="1"/>
  <c r="AI31" s="1"/>
  <c r="C26"/>
  <c r="E26"/>
  <c r="G26"/>
  <c r="H26"/>
  <c r="D25"/>
  <c r="F25"/>
  <c r="J25" s="1"/>
  <c r="AA30" s="1"/>
  <c r="C25"/>
  <c r="E25"/>
  <c r="G25"/>
  <c r="H25"/>
  <c r="D24"/>
  <c r="F24"/>
  <c r="C24"/>
  <c r="G24"/>
  <c r="I24" s="1"/>
  <c r="H24"/>
  <c r="D23"/>
  <c r="F23"/>
  <c r="C23"/>
  <c r="E23"/>
  <c r="G23"/>
  <c r="H23"/>
  <c r="D22"/>
  <c r="F22"/>
  <c r="C22"/>
  <c r="G22"/>
  <c r="H22"/>
  <c r="D21"/>
  <c r="F21"/>
  <c r="C21"/>
  <c r="E21"/>
  <c r="G21"/>
  <c r="H21"/>
  <c r="D20"/>
  <c r="F20"/>
  <c r="J20" s="1"/>
  <c r="AA25" s="1"/>
  <c r="C20"/>
  <c r="G20"/>
  <c r="H20"/>
  <c r="D19"/>
  <c r="F19"/>
  <c r="E19"/>
  <c r="C19"/>
  <c r="G19"/>
  <c r="H19"/>
  <c r="D18"/>
  <c r="F18"/>
  <c r="J18" s="1"/>
  <c r="AA23" s="1"/>
  <c r="C18"/>
  <c r="G18"/>
  <c r="H18"/>
  <c r="E18"/>
  <c r="D17"/>
  <c r="C17"/>
  <c r="F17"/>
  <c r="G17"/>
  <c r="H17"/>
  <c r="J17" s="1"/>
  <c r="AA22" s="1"/>
  <c r="D16"/>
  <c r="F16"/>
  <c r="J16" s="1"/>
  <c r="AA21" s="1"/>
  <c r="AI21" s="1"/>
  <c r="C16"/>
  <c r="G16"/>
  <c r="H16"/>
  <c r="E16"/>
  <c r="I16" s="1"/>
  <c r="D15"/>
  <c r="C15"/>
  <c r="F15"/>
  <c r="G15"/>
  <c r="H15"/>
  <c r="D14"/>
  <c r="F14"/>
  <c r="C14"/>
  <c r="E14"/>
  <c r="G14"/>
  <c r="I14" s="1"/>
  <c r="H14"/>
  <c r="D13"/>
  <c r="F13"/>
  <c r="C13"/>
  <c r="E13"/>
  <c r="G13"/>
  <c r="H13"/>
  <c r="D12"/>
  <c r="F12"/>
  <c r="C12"/>
  <c r="G12"/>
  <c r="H12"/>
  <c r="D11"/>
  <c r="C11"/>
  <c r="F11"/>
  <c r="J11" s="1"/>
  <c r="AA16" s="1"/>
  <c r="G11"/>
  <c r="H11"/>
  <c r="D10"/>
  <c r="C10"/>
  <c r="F10"/>
  <c r="G10"/>
  <c r="H10"/>
  <c r="E10"/>
  <c r="D9"/>
  <c r="F9"/>
  <c r="C9"/>
  <c r="E9"/>
  <c r="G9"/>
  <c r="H9"/>
  <c r="D8"/>
  <c r="C8"/>
  <c r="F8"/>
  <c r="G8"/>
  <c r="H8"/>
  <c r="E8"/>
  <c r="D7"/>
  <c r="F7"/>
  <c r="C7"/>
  <c r="E7"/>
  <c r="I7" s="1"/>
  <c r="G7"/>
  <c r="H7"/>
  <c r="D6"/>
  <c r="F6"/>
  <c r="C6"/>
  <c r="G6"/>
  <c r="H6"/>
  <c r="D5"/>
  <c r="E5"/>
  <c r="I5"/>
  <c r="C5"/>
  <c r="G5"/>
  <c r="H5"/>
  <c r="D4"/>
  <c r="C4"/>
  <c r="E4"/>
  <c r="I4" s="1"/>
  <c r="G4"/>
  <c r="H4"/>
  <c r="BG4"/>
  <c r="BH4"/>
  <c r="BE4"/>
  <c r="BG6"/>
  <c r="BH6"/>
  <c r="BE6"/>
  <c r="BG5"/>
  <c r="BH5"/>
  <c r="BE5"/>
  <c r="U16" i="1"/>
  <c r="W16"/>
  <c r="Y16"/>
  <c r="AH15"/>
  <c r="AI15"/>
  <c r="F4" i="2"/>
  <c r="E22"/>
  <c r="E24"/>
  <c r="E28"/>
  <c r="E30"/>
  <c r="I30" s="1"/>
  <c r="E32"/>
  <c r="I32" s="1"/>
  <c r="F41"/>
  <c r="J41" s="1"/>
  <c r="AA48" s="1"/>
  <c r="E42"/>
  <c r="I42" s="1"/>
  <c r="F43"/>
  <c r="E44"/>
  <c r="I44" s="1"/>
  <c r="F45"/>
  <c r="E46"/>
  <c r="I46" s="1"/>
  <c r="F47"/>
  <c r="E48"/>
  <c r="I48" s="1"/>
  <c r="F49"/>
  <c r="J49" s="1"/>
  <c r="AA56" s="1"/>
  <c r="E50"/>
  <c r="I50" s="1"/>
  <c r="E55"/>
  <c r="I55" s="1"/>
  <c r="E57"/>
  <c r="I57" s="1"/>
  <c r="E20"/>
  <c r="I20" s="1"/>
  <c r="E51"/>
  <c r="AP5"/>
  <c r="DI5"/>
  <c r="BD5"/>
  <c r="EM5"/>
  <c r="EL5"/>
  <c r="FS5"/>
  <c r="BF5"/>
  <c r="HB5"/>
  <c r="AN5"/>
  <c r="BU5" s="1"/>
  <c r="AM5"/>
  <c r="AQ5" s="1"/>
  <c r="AT5" s="1"/>
  <c r="AK5"/>
  <c r="L6"/>
  <c r="AG6" s="1"/>
  <c r="DF6"/>
  <c r="DD6"/>
  <c r="DH6"/>
  <c r="Q6"/>
  <c r="AB6"/>
  <c r="M6"/>
  <c r="X6"/>
  <c r="Y6" s="1"/>
  <c r="BF6"/>
  <c r="BV6" s="1"/>
  <c r="BX6" s="1"/>
  <c r="HA6"/>
  <c r="HC6"/>
  <c r="HE6"/>
  <c r="BD6"/>
  <c r="FR6"/>
  <c r="AK6"/>
  <c r="BU6" s="1"/>
  <c r="FT6"/>
  <c r="BI6"/>
  <c r="BJ6" s="1"/>
  <c r="EO6"/>
  <c r="AN6"/>
  <c r="AP6"/>
  <c r="DU6"/>
  <c r="EM6"/>
  <c r="HV6"/>
  <c r="W6"/>
  <c r="AM6"/>
  <c r="FW6"/>
  <c r="EK6"/>
  <c r="HF6"/>
  <c r="HG6" s="1"/>
  <c r="EP6"/>
  <c r="EQ6" s="1"/>
  <c r="GK6"/>
  <c r="FV6"/>
  <c r="HB6"/>
  <c r="DI6"/>
  <c r="DJ6"/>
  <c r="DK6" s="1"/>
  <c r="DE6"/>
  <c r="EL6"/>
  <c r="FB6"/>
  <c r="I21"/>
  <c r="J35"/>
  <c r="AA40" s="1"/>
  <c r="J9"/>
  <c r="AA14" s="1"/>
  <c r="I59"/>
  <c r="EP5"/>
  <c r="DF5"/>
  <c r="DE5"/>
  <c r="DU5"/>
  <c r="GK5"/>
  <c r="FV5"/>
  <c r="HA5"/>
  <c r="FB5"/>
  <c r="M5"/>
  <c r="O5" s="1"/>
  <c r="W5"/>
  <c r="FW5"/>
  <c r="HE5"/>
  <c r="Q5"/>
  <c r="AB5"/>
  <c r="FT5"/>
  <c r="EK5"/>
  <c r="EO5"/>
  <c r="DH5"/>
  <c r="DJ5" s="1"/>
  <c r="HC5"/>
  <c r="L5"/>
  <c r="AG5" s="1"/>
  <c r="HV5"/>
  <c r="FR5"/>
  <c r="HF5"/>
  <c r="J21"/>
  <c r="AA26" s="1"/>
  <c r="J42"/>
  <c r="AA49" s="1"/>
  <c r="I52"/>
  <c r="J50"/>
  <c r="AA57"/>
  <c r="AI57" s="1"/>
  <c r="J52"/>
  <c r="AA59" s="1"/>
  <c r="J15"/>
  <c r="AA20" s="1"/>
  <c r="AI20" s="1"/>
  <c r="DD5"/>
  <c r="O6"/>
  <c r="J46"/>
  <c r="AA53" s="1"/>
  <c r="J60"/>
  <c r="AA69"/>
  <c r="AI69" s="1"/>
  <c r="J19"/>
  <c r="AA24" s="1"/>
  <c r="J23"/>
  <c r="AA28"/>
  <c r="AI28" s="1"/>
  <c r="P6"/>
  <c r="J32"/>
  <c r="AA37"/>
  <c r="J48"/>
  <c r="AA55" s="1"/>
  <c r="AI55" s="1"/>
  <c r="J51"/>
  <c r="AA58"/>
  <c r="AI58" s="1"/>
  <c r="J54"/>
  <c r="AA62"/>
  <c r="AI62" s="1"/>
  <c r="E11"/>
  <c r="F5"/>
  <c r="J5" s="1"/>
  <c r="AA10" s="1"/>
  <c r="E6"/>
  <c r="E12"/>
  <c r="I12" s="1"/>
  <c r="E15"/>
  <c r="I15" s="1"/>
  <c r="E17"/>
  <c r="E60"/>
  <c r="I60" s="1"/>
  <c r="AI37"/>
  <c r="DL6"/>
  <c r="P5"/>
  <c r="AR5"/>
  <c r="FX6"/>
  <c r="FY6" s="1"/>
  <c r="X5"/>
  <c r="Y5" s="1"/>
  <c r="N5"/>
  <c r="W18" i="1"/>
  <c r="P18"/>
  <c r="P15"/>
  <c r="P17"/>
  <c r="U18"/>
  <c r="P13"/>
  <c r="AH17"/>
  <c r="AJ17"/>
  <c r="AI17"/>
  <c r="EQ5" i="2"/>
  <c r="ER5" s="1"/>
  <c r="N6"/>
  <c r="R6" s="1"/>
  <c r="AO6"/>
  <c r="AR6" s="1"/>
  <c r="BK6" l="1"/>
  <c r="BL6"/>
  <c r="ES6"/>
  <c r="ER6"/>
  <c r="EU6" s="1"/>
  <c r="DM6"/>
  <c r="DN6"/>
  <c r="I17"/>
  <c r="I29"/>
  <c r="J45"/>
  <c r="AA52" s="1"/>
  <c r="I8"/>
  <c r="I13"/>
  <c r="J22"/>
  <c r="AA27" s="1"/>
  <c r="I43"/>
  <c r="J24"/>
  <c r="AA29" s="1"/>
  <c r="I22"/>
  <c r="AQ6"/>
  <c r="AT6" s="1"/>
  <c r="I56"/>
  <c r="HV4"/>
  <c r="J47"/>
  <c r="AA54" s="1"/>
  <c r="J6"/>
  <c r="AA11" s="1"/>
  <c r="AI11" s="1"/>
  <c r="J55"/>
  <c r="AA63" s="1"/>
  <c r="AI63" s="1"/>
  <c r="HT6"/>
  <c r="GG6"/>
  <c r="I34"/>
  <c r="HF4"/>
  <c r="J30"/>
  <c r="AA35" s="1"/>
  <c r="I11"/>
  <c r="HT5"/>
  <c r="I9"/>
  <c r="I18"/>
  <c r="I23"/>
  <c r="I25"/>
  <c r="J58"/>
  <c r="AA66" s="1"/>
  <c r="AI66" s="1"/>
  <c r="Z6"/>
  <c r="AE6" s="1"/>
  <c r="BW6"/>
  <c r="I26"/>
  <c r="J28"/>
  <c r="AA33" s="1"/>
  <c r="S6"/>
  <c r="T6" s="1"/>
  <c r="EM4"/>
  <c r="J12"/>
  <c r="AA17" s="1"/>
  <c r="AI17" s="1"/>
  <c r="HP6"/>
  <c r="J53"/>
  <c r="AA60" s="1"/>
  <c r="HG5"/>
  <c r="HI5" s="1"/>
  <c r="J7"/>
  <c r="AA12" s="1"/>
  <c r="I31"/>
  <c r="J36"/>
  <c r="AA41" s="1"/>
  <c r="AS5"/>
  <c r="AU5" s="1"/>
  <c r="DY5" s="1"/>
  <c r="J43"/>
  <c r="AA50" s="1"/>
  <c r="J4"/>
  <c r="AA9" s="1"/>
  <c r="I10"/>
  <c r="J13"/>
  <c r="AA18" s="1"/>
  <c r="AI18" s="1"/>
  <c r="I19"/>
  <c r="AI23"/>
  <c r="AI27"/>
  <c r="HH6"/>
  <c r="HI6"/>
  <c r="AI67"/>
  <c r="AI25"/>
  <c r="R5"/>
  <c r="S5"/>
  <c r="T5" s="1"/>
  <c r="AI65"/>
  <c r="AI54"/>
  <c r="AI16"/>
  <c r="AI14"/>
  <c r="AI42"/>
  <c r="AI34"/>
  <c r="AI35"/>
  <c r="HG4"/>
  <c r="HH4" s="1"/>
  <c r="DK5"/>
  <c r="DL5"/>
  <c r="AI64"/>
  <c r="AI51"/>
  <c r="CL6"/>
  <c r="CM6" s="1"/>
  <c r="CN6" s="1"/>
  <c r="CO6" s="1"/>
  <c r="CP6" s="1"/>
  <c r="BY6"/>
  <c r="BZ6" s="1"/>
  <c r="CA6" s="1"/>
  <c r="CB6" s="1"/>
  <c r="CC6" s="1"/>
  <c r="CD6" s="1"/>
  <c r="CE6" s="1"/>
  <c r="CF6" s="1"/>
  <c r="CG6" s="1"/>
  <c r="CH6" s="1"/>
  <c r="CI6" s="1"/>
  <c r="CJ6" s="1"/>
  <c r="AI56"/>
  <c r="AI33"/>
  <c r="AI53"/>
  <c r="AI29"/>
  <c r="AI10"/>
  <c r="AI30"/>
  <c r="AI59"/>
  <c r="DP6"/>
  <c r="DQ6"/>
  <c r="DO6"/>
  <c r="AI48"/>
  <c r="GO5"/>
  <c r="AI52"/>
  <c r="Z5"/>
  <c r="AA5" s="1"/>
  <c r="AI60"/>
  <c r="HH5"/>
  <c r="AI12"/>
  <c r="AI41"/>
  <c r="AI45"/>
  <c r="AC5"/>
  <c r="U7" s="1"/>
  <c r="AI49"/>
  <c r="AI22"/>
  <c r="AI24"/>
  <c r="AI26"/>
  <c r="AI40"/>
  <c r="AI50"/>
  <c r="AI9"/>
  <c r="BJ5"/>
  <c r="BV5"/>
  <c r="U6"/>
  <c r="V6" s="1"/>
  <c r="S70" s="1"/>
  <c r="FW4"/>
  <c r="FX5"/>
  <c r="EK4"/>
  <c r="J14"/>
  <c r="AA19" s="1"/>
  <c r="AM4"/>
  <c r="Q4"/>
  <c r="AB4" s="1"/>
  <c r="J33"/>
  <c r="AA38" s="1"/>
  <c r="DU4"/>
  <c r="FS4"/>
  <c r="BI4"/>
  <c r="FR4"/>
  <c r="HP5"/>
  <c r="W4"/>
  <c r="I6"/>
  <c r="AK4"/>
  <c r="M4"/>
  <c r="HZ5"/>
  <c r="HA4"/>
  <c r="GG5"/>
  <c r="FZ6"/>
  <c r="GB6" s="1"/>
  <c r="HE4"/>
  <c r="HB4"/>
  <c r="I28"/>
  <c r="J8"/>
  <c r="AA13" s="1"/>
  <c r="IA5"/>
  <c r="EP4"/>
  <c r="I39"/>
  <c r="DF4"/>
  <c r="BF4"/>
  <c r="DD4"/>
  <c r="DZ5"/>
  <c r="ET6"/>
  <c r="EX6" s="1"/>
  <c r="ES5"/>
  <c r="EU5" s="1"/>
  <c r="EO4"/>
  <c r="AN4"/>
  <c r="FB4"/>
  <c r="HC4"/>
  <c r="AW5"/>
  <c r="DE4"/>
  <c r="EL4"/>
  <c r="L4"/>
  <c r="AI36"/>
  <c r="BD4"/>
  <c r="DH4"/>
  <c r="J10"/>
  <c r="AA15" s="1"/>
  <c r="GK4"/>
  <c r="FF5"/>
  <c r="FT4"/>
  <c r="FG5"/>
  <c r="AP4"/>
  <c r="FV4"/>
  <c r="AC6" l="1"/>
  <c r="V7" s="1"/>
  <c r="GA6"/>
  <c r="GC6" s="1"/>
  <c r="AS6"/>
  <c r="AU6" s="1"/>
  <c r="AA6"/>
  <c r="AV5"/>
  <c r="AX5" s="1"/>
  <c r="GP5"/>
  <c r="ET5"/>
  <c r="AD6"/>
  <c r="BN6"/>
  <c r="BM6"/>
  <c r="U5"/>
  <c r="V5" s="1"/>
  <c r="R70" s="1"/>
  <c r="EW5"/>
  <c r="EV5"/>
  <c r="EX5"/>
  <c r="HK5"/>
  <c r="HJ5"/>
  <c r="AO4"/>
  <c r="AQ4" s="1"/>
  <c r="BU4"/>
  <c r="EQ4"/>
  <c r="ER4" s="1"/>
  <c r="FX4"/>
  <c r="FY4" s="1"/>
  <c r="HT4"/>
  <c r="HP4"/>
  <c r="GG4"/>
  <c r="DS6"/>
  <c r="DT6" s="1"/>
  <c r="DX6" s="1"/>
  <c r="EC6" s="1"/>
  <c r="DR6"/>
  <c r="AF6"/>
  <c r="AH6" s="1"/>
  <c r="S7" s="1"/>
  <c r="FZ5"/>
  <c r="FY5"/>
  <c r="EV6"/>
  <c r="BV4"/>
  <c r="BJ4"/>
  <c r="AI19"/>
  <c r="BK5"/>
  <c r="BL5"/>
  <c r="AD5"/>
  <c r="AE5"/>
  <c r="HK6"/>
  <c r="HJ6"/>
  <c r="EW6"/>
  <c r="AG4"/>
  <c r="BX5"/>
  <c r="BW5"/>
  <c r="BY5" s="1"/>
  <c r="BZ5" s="1"/>
  <c r="CA5" s="1"/>
  <c r="CB5" s="1"/>
  <c r="CC5" s="1"/>
  <c r="CD5" s="1"/>
  <c r="CE5" s="1"/>
  <c r="CF5" s="1"/>
  <c r="CG5" s="1"/>
  <c r="CH5" s="1"/>
  <c r="CI5" s="1"/>
  <c r="CJ5" s="1"/>
  <c r="DJ4"/>
  <c r="DK4" s="1"/>
  <c r="HI4"/>
  <c r="HK4" s="1"/>
  <c r="Z4"/>
  <c r="AE4" s="1"/>
  <c r="X4"/>
  <c r="Y4" s="1"/>
  <c r="P4"/>
  <c r="N4"/>
  <c r="O4"/>
  <c r="AI15"/>
  <c r="AY5"/>
  <c r="BA5" s="1"/>
  <c r="AZ5"/>
  <c r="DN5"/>
  <c r="DM5"/>
  <c r="FZ4"/>
  <c r="AI13"/>
  <c r="AI38"/>
  <c r="GD6" l="1"/>
  <c r="GF6" s="1"/>
  <c r="GH6" s="1"/>
  <c r="AV6"/>
  <c r="AX6" s="1"/>
  <c r="FF6"/>
  <c r="IA6"/>
  <c r="FG6"/>
  <c r="HZ6"/>
  <c r="AW6"/>
  <c r="DZ6"/>
  <c r="GP6"/>
  <c r="GO6"/>
  <c r="DY6"/>
  <c r="AR4"/>
  <c r="AS4" s="1"/>
  <c r="AU4" s="1"/>
  <c r="ES4"/>
  <c r="ET4" s="1"/>
  <c r="HJ4"/>
  <c r="HN4" s="1"/>
  <c r="GE6"/>
  <c r="AF5"/>
  <c r="AH5" s="1"/>
  <c r="R7" s="1"/>
  <c r="BP6"/>
  <c r="BQ6"/>
  <c r="CR6"/>
  <c r="CS6" s="1"/>
  <c r="BO6"/>
  <c r="CL5"/>
  <c r="CM5" s="1"/>
  <c r="CN5" s="1"/>
  <c r="CO5" s="1"/>
  <c r="CP5" s="1"/>
  <c r="HM4"/>
  <c r="HL4"/>
  <c r="EZ5"/>
  <c r="FA5" s="1"/>
  <c r="FE5" s="1"/>
  <c r="FJ5" s="1"/>
  <c r="EY5"/>
  <c r="BB5"/>
  <c r="BC5" s="1"/>
  <c r="BK4"/>
  <c r="BL4"/>
  <c r="HN5"/>
  <c r="HL5"/>
  <c r="HM5"/>
  <c r="AC4"/>
  <c r="T7" s="1"/>
  <c r="AA7" s="1"/>
  <c r="BX4"/>
  <c r="CL4" s="1"/>
  <c r="CM4" s="1"/>
  <c r="CN4" s="1"/>
  <c r="CO4" s="1"/>
  <c r="CP4" s="1"/>
  <c r="BW4"/>
  <c r="BY4" s="1"/>
  <c r="BZ4" s="1"/>
  <c r="CA4" s="1"/>
  <c r="CB4" s="1"/>
  <c r="CC4" s="1"/>
  <c r="CD4" s="1"/>
  <c r="CE4" s="1"/>
  <c r="CF4" s="1"/>
  <c r="CG4" s="1"/>
  <c r="CH4" s="1"/>
  <c r="CI4" s="1"/>
  <c r="CJ4" s="1"/>
  <c r="GA5"/>
  <c r="GB5"/>
  <c r="EU4"/>
  <c r="GA4"/>
  <c r="GB4"/>
  <c r="S4"/>
  <c r="T4" s="1"/>
  <c r="R4"/>
  <c r="AD4"/>
  <c r="AF4" s="1"/>
  <c r="AH4" s="1"/>
  <c r="Q7" s="1"/>
  <c r="Y7" s="1"/>
  <c r="DO5"/>
  <c r="DP5"/>
  <c r="DQ5"/>
  <c r="BN5"/>
  <c r="BM5"/>
  <c r="AA4"/>
  <c r="EZ6"/>
  <c r="FA6" s="1"/>
  <c r="FE6" s="1"/>
  <c r="FJ6" s="1"/>
  <c r="EY6"/>
  <c r="HN6"/>
  <c r="HL6"/>
  <c r="HM6"/>
  <c r="DL4"/>
  <c r="DM4" s="1"/>
  <c r="DV6"/>
  <c r="DW6"/>
  <c r="EB6" s="1"/>
  <c r="BA6" l="1"/>
  <c r="AT4"/>
  <c r="AV4" s="1"/>
  <c r="AX4" s="1"/>
  <c r="GI6"/>
  <c r="GJ6" s="1"/>
  <c r="GN6" s="1"/>
  <c r="GS6" s="1"/>
  <c r="AZ6"/>
  <c r="AY6"/>
  <c r="BB6" s="1"/>
  <c r="EA6"/>
  <c r="ED6" s="1"/>
  <c r="BR6"/>
  <c r="CK6" s="1"/>
  <c r="BS6"/>
  <c r="BT6" s="1"/>
  <c r="CQ6" s="1"/>
  <c r="CV6" s="1"/>
  <c r="Z7"/>
  <c r="AC7" s="1"/>
  <c r="AB7"/>
  <c r="FD5"/>
  <c r="FI5" s="1"/>
  <c r="FC5"/>
  <c r="FH5" s="1"/>
  <c r="FK5" s="1"/>
  <c r="HR5"/>
  <c r="HS5" s="1"/>
  <c r="HU5" s="1"/>
  <c r="HY5" s="1"/>
  <c r="ID5" s="1"/>
  <c r="HO5"/>
  <c r="HQ5" s="1"/>
  <c r="U4"/>
  <c r="V4" s="1"/>
  <c r="BM4"/>
  <c r="BN4"/>
  <c r="HR4"/>
  <c r="HS4" s="1"/>
  <c r="HU4" s="1"/>
  <c r="HY4" s="1"/>
  <c r="ID4" s="1"/>
  <c r="HO4"/>
  <c r="HQ4" s="1"/>
  <c r="FD6"/>
  <c r="FI6" s="1"/>
  <c r="FC6"/>
  <c r="FH6" s="1"/>
  <c r="FK6" s="1"/>
  <c r="EG6"/>
  <c r="EJ6" s="1"/>
  <c r="S47" s="1"/>
  <c r="EH6"/>
  <c r="EI6" s="1"/>
  <c r="V47" s="1"/>
  <c r="EF6"/>
  <c r="EE6"/>
  <c r="AE7"/>
  <c r="AI7"/>
  <c r="AJ7"/>
  <c r="DS5"/>
  <c r="DT5" s="1"/>
  <c r="DX5" s="1"/>
  <c r="EC5" s="1"/>
  <c r="DR5"/>
  <c r="GC5"/>
  <c r="GE5"/>
  <c r="GD5"/>
  <c r="GE4"/>
  <c r="GC4"/>
  <c r="GD4"/>
  <c r="CR5"/>
  <c r="CS5" s="1"/>
  <c r="BP5"/>
  <c r="BQ5"/>
  <c r="BO5"/>
  <c r="DN4"/>
  <c r="GP4"/>
  <c r="FG4"/>
  <c r="HO6"/>
  <c r="HQ6" s="1"/>
  <c r="HR6"/>
  <c r="HS6" s="1"/>
  <c r="HU6" s="1"/>
  <c r="HY6" s="1"/>
  <c r="ID6" s="1"/>
  <c r="EV4"/>
  <c r="EW4"/>
  <c r="EX4"/>
  <c r="BC6" l="1"/>
  <c r="GM6"/>
  <c r="GR6" s="1"/>
  <c r="GV6" s="1"/>
  <c r="GO4"/>
  <c r="CT6"/>
  <c r="CW6" s="1"/>
  <c r="CU6"/>
  <c r="GL6"/>
  <c r="GQ6" s="1"/>
  <c r="GT6" s="1"/>
  <c r="AW4"/>
  <c r="IA4"/>
  <c r="FF4"/>
  <c r="HZ4"/>
  <c r="DZ4"/>
  <c r="DY4"/>
  <c r="BR5"/>
  <c r="CK5" s="1"/>
  <c r="BS5"/>
  <c r="BT5" s="1"/>
  <c r="CQ5" s="1"/>
  <c r="CV5" s="1"/>
  <c r="FL5"/>
  <c r="FO5" s="1"/>
  <c r="FP5" s="1"/>
  <c r="U68" s="1"/>
  <c r="AC22" i="1" s="1"/>
  <c r="FM5" i="2"/>
  <c r="GI4"/>
  <c r="GJ4" s="1"/>
  <c r="GN4" s="1"/>
  <c r="GS4" s="1"/>
  <c r="GF4"/>
  <c r="GH4" s="1"/>
  <c r="GI5"/>
  <c r="GJ5" s="1"/>
  <c r="GN5" s="1"/>
  <c r="GS5" s="1"/>
  <c r="GF5"/>
  <c r="GH5" s="1"/>
  <c r="HX5"/>
  <c r="IC5" s="1"/>
  <c r="HW5"/>
  <c r="IB5" s="1"/>
  <c r="IE5" s="1"/>
  <c r="DP4"/>
  <c r="DO4"/>
  <c r="DQ4"/>
  <c r="DW5"/>
  <c r="EB5" s="1"/>
  <c r="DV5"/>
  <c r="EA5" s="1"/>
  <c r="ED5" s="1"/>
  <c r="Y19"/>
  <c r="Y41"/>
  <c r="Y40"/>
  <c r="Y52"/>
  <c r="Y17"/>
  <c r="Y36"/>
  <c r="Y29"/>
  <c r="Y12"/>
  <c r="Q70"/>
  <c r="Y15"/>
  <c r="Y27"/>
  <c r="Y50"/>
  <c r="Y56"/>
  <c r="Y38"/>
  <c r="Y66"/>
  <c r="Y39"/>
  <c r="Y34"/>
  <c r="Y42"/>
  <c r="Y28"/>
  <c r="Y58"/>
  <c r="Y11"/>
  <c r="Y62"/>
  <c r="Y24"/>
  <c r="Y45"/>
  <c r="Y25"/>
  <c r="Y67"/>
  <c r="Y60"/>
  <c r="Y59"/>
  <c r="Y65"/>
  <c r="Y21"/>
  <c r="Y23"/>
  <c r="Y55"/>
  <c r="Y16"/>
  <c r="Y53"/>
  <c r="Y20"/>
  <c r="Y35"/>
  <c r="Y31"/>
  <c r="Y13"/>
  <c r="Y63"/>
  <c r="Y9"/>
  <c r="Y14"/>
  <c r="Y22"/>
  <c r="Y54"/>
  <c r="Y18"/>
  <c r="Y49"/>
  <c r="Y69"/>
  <c r="Y64"/>
  <c r="Y46"/>
  <c r="Y26"/>
  <c r="Y30"/>
  <c r="Y44"/>
  <c r="Y32"/>
  <c r="Y10"/>
  <c r="Y33"/>
  <c r="Y48"/>
  <c r="Y51"/>
  <c r="Y37"/>
  <c r="Y57"/>
  <c r="AN7"/>
  <c r="AK7"/>
  <c r="FM6"/>
  <c r="FL6"/>
  <c r="FO6" s="1"/>
  <c r="FP6" s="1"/>
  <c r="V68" s="1"/>
  <c r="HW6"/>
  <c r="IB6" s="1"/>
  <c r="IE6" s="1"/>
  <c r="HX6"/>
  <c r="IC6" s="1"/>
  <c r="AZ4"/>
  <c r="AY4"/>
  <c r="BA4" s="1"/>
  <c r="CR4"/>
  <c r="CS4" s="1"/>
  <c r="BO4"/>
  <c r="BQ4"/>
  <c r="BP4"/>
  <c r="AD7"/>
  <c r="AF7" s="1"/>
  <c r="HW4"/>
  <c r="IB4" s="1"/>
  <c r="IE4" s="1"/>
  <c r="HX4"/>
  <c r="IC4" s="1"/>
  <c r="EZ4"/>
  <c r="FA4" s="1"/>
  <c r="FE4" s="1"/>
  <c r="FJ4" s="1"/>
  <c r="EY4"/>
  <c r="CZ6" l="1"/>
  <c r="DC6" s="1"/>
  <c r="S8" s="1"/>
  <c r="CU5"/>
  <c r="CY5" s="1"/>
  <c r="GU6"/>
  <c r="GX6" s="1"/>
  <c r="GY6" s="1"/>
  <c r="V43" s="1"/>
  <c r="CY6"/>
  <c r="CX6"/>
  <c r="DA6" s="1"/>
  <c r="Y20" i="1"/>
  <c r="W20"/>
  <c r="U20"/>
  <c r="Z34" i="2"/>
  <c r="AC34" s="1"/>
  <c r="AB34"/>
  <c r="AJ34"/>
  <c r="AE34"/>
  <c r="AB63"/>
  <c r="AD63" s="1"/>
  <c r="AF63" s="1"/>
  <c r="Z63"/>
  <c r="AC63" s="1"/>
  <c r="AE63"/>
  <c r="AJ63"/>
  <c r="EE5"/>
  <c r="EH5" s="1"/>
  <c r="EI5" s="1"/>
  <c r="U47" s="1"/>
  <c r="EF5"/>
  <c r="Z60"/>
  <c r="AC60" s="1"/>
  <c r="AB60"/>
  <c r="AE60"/>
  <c r="AJ60"/>
  <c r="Z57"/>
  <c r="AC57" s="1"/>
  <c r="AE57"/>
  <c r="AJ57"/>
  <c r="AB57"/>
  <c r="Z21"/>
  <c r="AC21" s="1"/>
  <c r="AB21"/>
  <c r="AE21"/>
  <c r="AJ21"/>
  <c r="AE58"/>
  <c r="Z58"/>
  <c r="AC58" s="1"/>
  <c r="AJ58"/>
  <c r="AB58"/>
  <c r="AB15"/>
  <c r="AD15" s="1"/>
  <c r="AF15" s="1"/>
  <c r="Z15"/>
  <c r="AC15" s="1"/>
  <c r="AE15"/>
  <c r="AJ15"/>
  <c r="EG5"/>
  <c r="EJ5" s="1"/>
  <c r="R47" s="1"/>
  <c r="GM5"/>
  <c r="GR5" s="1"/>
  <c r="GL5"/>
  <c r="GQ5" s="1"/>
  <c r="GT5" s="1"/>
  <c r="BB4"/>
  <c r="BC4" s="1"/>
  <c r="Z29"/>
  <c r="AC29" s="1"/>
  <c r="AB29"/>
  <c r="AE29"/>
  <c r="AJ29"/>
  <c r="AB59"/>
  <c r="Z59"/>
  <c r="AC59" s="1"/>
  <c r="AE59"/>
  <c r="AJ59"/>
  <c r="AJ44"/>
  <c r="AE44"/>
  <c r="AB44"/>
  <c r="AD44" s="1"/>
  <c r="Z44"/>
  <c r="AC44" s="1"/>
  <c r="AB14"/>
  <c r="AD14" s="1"/>
  <c r="AF14" s="1"/>
  <c r="Z14"/>
  <c r="AC14" s="1"/>
  <c r="AJ14"/>
  <c r="AE14"/>
  <c r="Z23"/>
  <c r="AC23" s="1"/>
  <c r="AB23"/>
  <c r="AE23"/>
  <c r="AJ23"/>
  <c r="Z11"/>
  <c r="AC11" s="1"/>
  <c r="AB11"/>
  <c r="AE11"/>
  <c r="AJ11"/>
  <c r="Z27"/>
  <c r="AC27" s="1"/>
  <c r="AB27"/>
  <c r="AE27"/>
  <c r="AJ27"/>
  <c r="AB19"/>
  <c r="Z19"/>
  <c r="AC19" s="1"/>
  <c r="AJ19"/>
  <c r="AE19"/>
  <c r="IF5"/>
  <c r="IG5"/>
  <c r="FN6"/>
  <c r="FQ6" s="1"/>
  <c r="S68" s="1"/>
  <c r="AB64"/>
  <c r="Z64"/>
  <c r="AC64" s="1"/>
  <c r="AJ64"/>
  <c r="AE64"/>
  <c r="AJ31"/>
  <c r="Z31"/>
  <c r="AC31" s="1"/>
  <c r="AB31"/>
  <c r="AE31"/>
  <c r="Z9"/>
  <c r="AC9" s="1"/>
  <c r="AB9"/>
  <c r="AD9" s="1"/>
  <c r="AJ9"/>
  <c r="AE9"/>
  <c r="AB32"/>
  <c r="AD32" s="1"/>
  <c r="Z32"/>
  <c r="AC32" s="1"/>
  <c r="AJ32"/>
  <c r="AE32"/>
  <c r="AB22"/>
  <c r="AD22" s="1"/>
  <c r="AF22" s="1"/>
  <c r="Z22"/>
  <c r="AC22" s="1"/>
  <c r="AE22"/>
  <c r="AJ22"/>
  <c r="AJ55"/>
  <c r="AE55"/>
  <c r="AB55"/>
  <c r="AD55" s="1"/>
  <c r="Z55"/>
  <c r="AC55" s="1"/>
  <c r="Z62"/>
  <c r="AC62" s="1"/>
  <c r="AE62"/>
  <c r="AB62"/>
  <c r="AJ62"/>
  <c r="Z50"/>
  <c r="AC50" s="1"/>
  <c r="AB50"/>
  <c r="AD50" s="1"/>
  <c r="AJ50"/>
  <c r="AE50"/>
  <c r="Z41"/>
  <c r="AC41" s="1"/>
  <c r="AB41"/>
  <c r="AE41"/>
  <c r="AJ41"/>
  <c r="II5"/>
  <c r="IJ5" s="1"/>
  <c r="U61" s="1"/>
  <c r="IH5"/>
  <c r="IK5" s="1"/>
  <c r="R61" s="1"/>
  <c r="AB42"/>
  <c r="Z42"/>
  <c r="AC42" s="1"/>
  <c r="AJ42"/>
  <c r="AE42"/>
  <c r="Z26"/>
  <c r="AC26" s="1"/>
  <c r="AB26"/>
  <c r="AE26"/>
  <c r="AJ26"/>
  <c r="Z30"/>
  <c r="AC30" s="1"/>
  <c r="AB30"/>
  <c r="AJ30"/>
  <c r="AE30"/>
  <c r="Z10"/>
  <c r="AC10" s="1"/>
  <c r="AB10"/>
  <c r="AJ10"/>
  <c r="AE10"/>
  <c r="AB54"/>
  <c r="AD54" s="1"/>
  <c r="AF54" s="1"/>
  <c r="Z54"/>
  <c r="AC54" s="1"/>
  <c r="AE54"/>
  <c r="AJ54"/>
  <c r="AB16"/>
  <c r="Z16"/>
  <c r="AC16" s="1"/>
  <c r="AJ16"/>
  <c r="AE16"/>
  <c r="Z24"/>
  <c r="AC24" s="1"/>
  <c r="AB24"/>
  <c r="AJ24"/>
  <c r="AE24"/>
  <c r="Z56"/>
  <c r="AC56" s="1"/>
  <c r="AB56"/>
  <c r="AD56" s="1"/>
  <c r="AF56" s="1"/>
  <c r="AJ56"/>
  <c r="AE56"/>
  <c r="Z40"/>
  <c r="AC40" s="1"/>
  <c r="AB40"/>
  <c r="AE40"/>
  <c r="AJ40"/>
  <c r="GW6"/>
  <c r="GZ6" s="1"/>
  <c r="S43" s="1"/>
  <c r="FN5"/>
  <c r="FQ5" s="1"/>
  <c r="R68" s="1"/>
  <c r="AC14" i="1" s="1"/>
  <c r="AE46" i="2"/>
  <c r="AB46"/>
  <c r="AD46" s="1"/>
  <c r="AF46" s="1"/>
  <c r="AJ46"/>
  <c r="Z46"/>
  <c r="AC46" s="1"/>
  <c r="Z13"/>
  <c r="AC13" s="1"/>
  <c r="AB13"/>
  <c r="AJ13"/>
  <c r="AE13"/>
  <c r="AB28"/>
  <c r="AD28" s="1"/>
  <c r="AF28" s="1"/>
  <c r="AE28"/>
  <c r="Z28"/>
  <c r="AC28" s="1"/>
  <c r="AJ28"/>
  <c r="FD4"/>
  <c r="FI4" s="1"/>
  <c r="FC4"/>
  <c r="FH4" s="1"/>
  <c r="FK4" s="1"/>
  <c r="IF6"/>
  <c r="IH6" s="1"/>
  <c r="IK6" s="1"/>
  <c r="S61" s="1"/>
  <c r="IG6"/>
  <c r="Z33"/>
  <c r="AC33" s="1"/>
  <c r="AB33"/>
  <c r="AE33"/>
  <c r="AJ33"/>
  <c r="Z18"/>
  <c r="AC18" s="1"/>
  <c r="AB18"/>
  <c r="AD18" s="1"/>
  <c r="AF18" s="1"/>
  <c r="AJ18"/>
  <c r="AE18"/>
  <c r="AB53"/>
  <c r="Z53"/>
  <c r="AC53" s="1"/>
  <c r="AE53"/>
  <c r="AJ53"/>
  <c r="Z45"/>
  <c r="AC45" s="1"/>
  <c r="AB45"/>
  <c r="AJ45"/>
  <c r="AE45"/>
  <c r="AB38"/>
  <c r="Z38"/>
  <c r="AC38" s="1"/>
  <c r="AJ38"/>
  <c r="AE38"/>
  <c r="AB52"/>
  <c r="AD52" s="1"/>
  <c r="AF52" s="1"/>
  <c r="Z52"/>
  <c r="AC52" s="1"/>
  <c r="AE52"/>
  <c r="AJ52"/>
  <c r="CT5"/>
  <c r="CW5" s="1"/>
  <c r="IF4"/>
  <c r="IG4"/>
  <c r="Z12"/>
  <c r="AC12" s="1"/>
  <c r="AB12"/>
  <c r="AJ12"/>
  <c r="AE12"/>
  <c r="AB65"/>
  <c r="Z65"/>
  <c r="AC65" s="1"/>
  <c r="AE65"/>
  <c r="AJ65"/>
  <c r="G9" i="1"/>
  <c r="J9"/>
  <c r="L9"/>
  <c r="AH7" i="2"/>
  <c r="AM7" s="1"/>
  <c r="AG7"/>
  <c r="Z48"/>
  <c r="AC48" s="1"/>
  <c r="AB48"/>
  <c r="AJ48"/>
  <c r="AE48"/>
  <c r="Z49"/>
  <c r="AC49" s="1"/>
  <c r="AB49"/>
  <c r="AE49"/>
  <c r="AJ49"/>
  <c r="AB20"/>
  <c r="AD20" s="1"/>
  <c r="AF20" s="1"/>
  <c r="Z20"/>
  <c r="AC20" s="1"/>
  <c r="AJ20"/>
  <c r="AE20"/>
  <c r="Z25"/>
  <c r="AC25" s="1"/>
  <c r="AB25"/>
  <c r="AJ25"/>
  <c r="AE25"/>
  <c r="Z66"/>
  <c r="AC66" s="1"/>
  <c r="AB66"/>
  <c r="AD66" s="1"/>
  <c r="AJ66"/>
  <c r="AE66"/>
  <c r="Z17"/>
  <c r="AC17" s="1"/>
  <c r="AB17"/>
  <c r="AJ17"/>
  <c r="AE17"/>
  <c r="DS4"/>
  <c r="DT4" s="1"/>
  <c r="DX4" s="1"/>
  <c r="EC4" s="1"/>
  <c r="DR4"/>
  <c r="AJ37"/>
  <c r="Z37"/>
  <c r="AC37" s="1"/>
  <c r="AB37"/>
  <c r="AE37"/>
  <c r="BR4"/>
  <c r="CK4" s="1"/>
  <c r="BS4"/>
  <c r="BT4" s="1"/>
  <c r="CQ4" s="1"/>
  <c r="CV4" s="1"/>
  <c r="II4"/>
  <c r="IJ4" s="1"/>
  <c r="T61" s="1"/>
  <c r="AA61" s="1"/>
  <c r="IH4"/>
  <c r="IK4" s="1"/>
  <c r="Q61" s="1"/>
  <c r="Y61" s="1"/>
  <c r="Z51"/>
  <c r="AC51" s="1"/>
  <c r="AB51"/>
  <c r="AE51"/>
  <c r="AJ51"/>
  <c r="AB69"/>
  <c r="AD69" s="1"/>
  <c r="AF69" s="1"/>
  <c r="AE69"/>
  <c r="Z69"/>
  <c r="AC69" s="1"/>
  <c r="AJ69"/>
  <c r="AB35"/>
  <c r="AD35" s="1"/>
  <c r="AF35" s="1"/>
  <c r="Z35"/>
  <c r="AC35" s="1"/>
  <c r="AJ35"/>
  <c r="AE35"/>
  <c r="AB67"/>
  <c r="Z67"/>
  <c r="AC67" s="1"/>
  <c r="AJ67"/>
  <c r="AE67"/>
  <c r="AB39"/>
  <c r="AD39" s="1"/>
  <c r="AE39"/>
  <c r="AJ39"/>
  <c r="Z39"/>
  <c r="AC39" s="1"/>
  <c r="Z36"/>
  <c r="AC36" s="1"/>
  <c r="AB36"/>
  <c r="AE36"/>
  <c r="AJ36"/>
  <c r="GM4"/>
  <c r="GR4" s="1"/>
  <c r="GL4"/>
  <c r="GQ4" s="1"/>
  <c r="GT4" s="1"/>
  <c r="AD60" l="1"/>
  <c r="AF60" s="1"/>
  <c r="AG60" s="1"/>
  <c r="AH60" s="1"/>
  <c r="AM60" s="1"/>
  <c r="AD34"/>
  <c r="AF34" s="1"/>
  <c r="AG34" s="1"/>
  <c r="AH34" s="1"/>
  <c r="AM34" s="1"/>
  <c r="AF39"/>
  <c r="CU4"/>
  <c r="CY4" s="1"/>
  <c r="AD65"/>
  <c r="AF65" s="1"/>
  <c r="AD58"/>
  <c r="AF58" s="1"/>
  <c r="AG58" s="1"/>
  <c r="AH58" s="1"/>
  <c r="AM58" s="1"/>
  <c r="CX5"/>
  <c r="DB6"/>
  <c r="V8" s="1"/>
  <c r="AD59"/>
  <c r="AF66"/>
  <c r="CT4"/>
  <c r="CW4" s="1"/>
  <c r="AD53"/>
  <c r="AD21"/>
  <c r="AF21" s="1"/>
  <c r="AK51"/>
  <c r="AN51"/>
  <c r="AN13"/>
  <c r="AK13"/>
  <c r="AN66"/>
  <c r="AK66"/>
  <c r="AK19"/>
  <c r="AN19"/>
  <c r="AN52"/>
  <c r="AK52"/>
  <c r="AK33"/>
  <c r="AN33"/>
  <c r="W13" i="1"/>
  <c r="U13"/>
  <c r="AN62" i="2"/>
  <c r="AK62"/>
  <c r="AH14"/>
  <c r="AM14" s="1"/>
  <c r="AG14"/>
  <c r="AK63"/>
  <c r="AN63"/>
  <c r="AD33"/>
  <c r="AF33" s="1"/>
  <c r="AD31"/>
  <c r="AF31" s="1"/>
  <c r="AD45"/>
  <c r="AF45" s="1"/>
  <c r="AD30"/>
  <c r="AF30" s="1"/>
  <c r="AD57"/>
  <c r="AF57" s="1"/>
  <c r="AN36"/>
  <c r="AK36"/>
  <c r="AN31"/>
  <c r="AK31"/>
  <c r="AG65"/>
  <c r="AH65" s="1"/>
  <c r="AM65" s="1"/>
  <c r="AN41"/>
  <c r="AK41"/>
  <c r="AG22"/>
  <c r="AH22" s="1"/>
  <c r="AM22" s="1"/>
  <c r="AN69"/>
  <c r="AK69"/>
  <c r="AN65"/>
  <c r="AK65"/>
  <c r="CZ5"/>
  <c r="DC5" s="1"/>
  <c r="R8" s="1"/>
  <c r="DA5"/>
  <c r="DB5" s="1"/>
  <c r="U8" s="1"/>
  <c r="AK45"/>
  <c r="AN45"/>
  <c r="AN30"/>
  <c r="AK30"/>
  <c r="AN11"/>
  <c r="AK11"/>
  <c r="AK29"/>
  <c r="AN29"/>
  <c r="AD29"/>
  <c r="AF29" s="1"/>
  <c r="AD17"/>
  <c r="AF17" s="1"/>
  <c r="AD48"/>
  <c r="AF48" s="1"/>
  <c r="AD42"/>
  <c r="AF42" s="1"/>
  <c r="AG66"/>
  <c r="AH66" s="1"/>
  <c r="AM66" s="1"/>
  <c r="AK10"/>
  <c r="AN10"/>
  <c r="AG20"/>
  <c r="AH20" s="1"/>
  <c r="AM20" s="1"/>
  <c r="AK24"/>
  <c r="AN24"/>
  <c r="AN57"/>
  <c r="AK57"/>
  <c r="AN17"/>
  <c r="AK17"/>
  <c r="AN48"/>
  <c r="AK48"/>
  <c r="AH18"/>
  <c r="AM18" s="1"/>
  <c r="AG18"/>
  <c r="AN28"/>
  <c r="AK28"/>
  <c r="AH46"/>
  <c r="AM46" s="1"/>
  <c r="AG46"/>
  <c r="AG56"/>
  <c r="AH56" s="1"/>
  <c r="AM56" s="1"/>
  <c r="AK54"/>
  <c r="AN54"/>
  <c r="AN22"/>
  <c r="AK22"/>
  <c r="AN14"/>
  <c r="AK14"/>
  <c r="AN15"/>
  <c r="AK15"/>
  <c r="AG21"/>
  <c r="AH21" s="1"/>
  <c r="AM21" s="1"/>
  <c r="AF44"/>
  <c r="AF50"/>
  <c r="AF9"/>
  <c r="AF59"/>
  <c r="AH52"/>
  <c r="AM52" s="1"/>
  <c r="AG52"/>
  <c r="AN32"/>
  <c r="AK32"/>
  <c r="AG63"/>
  <c r="AH63" s="1"/>
  <c r="AM63" s="1"/>
  <c r="AG69"/>
  <c r="AH69" s="1"/>
  <c r="AM69" s="1"/>
  <c r="GW4"/>
  <c r="GZ4" s="1"/>
  <c r="Q43" s="1"/>
  <c r="Y43" s="1"/>
  <c r="AG15"/>
  <c r="AH15" s="1"/>
  <c r="AM15" s="1"/>
  <c r="AH39"/>
  <c r="AM39" s="1"/>
  <c r="AG39"/>
  <c r="Z61"/>
  <c r="AC61" s="1"/>
  <c r="AB61"/>
  <c r="AN18"/>
  <c r="AK18"/>
  <c r="FL4"/>
  <c r="FO4" s="1"/>
  <c r="FP4" s="1"/>
  <c r="T68" s="1"/>
  <c r="FM4"/>
  <c r="AN46"/>
  <c r="AK46"/>
  <c r="AN56"/>
  <c r="AK56"/>
  <c r="AN42"/>
  <c r="AK42"/>
  <c r="AN50"/>
  <c r="AK50"/>
  <c r="AN55"/>
  <c r="AK55"/>
  <c r="AN9"/>
  <c r="AK9"/>
  <c r="AD62"/>
  <c r="AF62" s="1"/>
  <c r="AD25"/>
  <c r="AF25" s="1"/>
  <c r="AD38"/>
  <c r="AF38" s="1"/>
  <c r="AD16"/>
  <c r="AF16" s="1"/>
  <c r="II6"/>
  <c r="IJ6" s="1"/>
  <c r="V61" s="1"/>
  <c r="AD64"/>
  <c r="AF64" s="1"/>
  <c r="AD27"/>
  <c r="AF27" s="1"/>
  <c r="GV4"/>
  <c r="GU4"/>
  <c r="GX4" s="1"/>
  <c r="AN53"/>
  <c r="AK53"/>
  <c r="AK20"/>
  <c r="AN20"/>
  <c r="AE61"/>
  <c r="AI61"/>
  <c r="AJ61"/>
  <c r="AK25"/>
  <c r="AN25"/>
  <c r="AK21"/>
  <c r="AN21"/>
  <c r="AD24"/>
  <c r="AF24" s="1"/>
  <c r="AD11"/>
  <c r="AF11" s="1"/>
  <c r="AN23"/>
  <c r="AK23"/>
  <c r="AK67"/>
  <c r="AN67"/>
  <c r="AK26"/>
  <c r="AN26"/>
  <c r="AH28"/>
  <c r="AM28" s="1"/>
  <c r="AG28"/>
  <c r="AN39"/>
  <c r="AK39"/>
  <c r="DW4"/>
  <c r="EB4" s="1"/>
  <c r="DV4"/>
  <c r="EA4" s="1"/>
  <c r="ED4" s="1"/>
  <c r="AN38"/>
  <c r="AK38"/>
  <c r="AK16"/>
  <c r="AN16"/>
  <c r="AN64"/>
  <c r="AK64"/>
  <c r="AK27"/>
  <c r="AN27"/>
  <c r="AN59"/>
  <c r="AK59"/>
  <c r="GU5"/>
  <c r="GV5"/>
  <c r="AN34"/>
  <c r="AK34"/>
  <c r="AD49"/>
  <c r="AF49" s="1"/>
  <c r="AD12"/>
  <c r="AF12" s="1"/>
  <c r="AF53"/>
  <c r="AF55"/>
  <c r="AF32"/>
  <c r="AD23"/>
  <c r="AF23" s="1"/>
  <c r="AN49"/>
  <c r="AK49"/>
  <c r="AN58"/>
  <c r="AK58"/>
  <c r="AN40"/>
  <c r="AK40"/>
  <c r="AH54"/>
  <c r="AM54" s="1"/>
  <c r="AG54"/>
  <c r="AH35"/>
  <c r="AM35" s="1"/>
  <c r="AG35"/>
  <c r="AK35"/>
  <c r="AN35"/>
  <c r="AN37"/>
  <c r="AK37"/>
  <c r="AN12"/>
  <c r="AK12"/>
  <c r="AK44"/>
  <c r="AN44"/>
  <c r="GW5"/>
  <c r="GZ5" s="1"/>
  <c r="R43" s="1"/>
  <c r="GX5"/>
  <c r="GY5" s="1"/>
  <c r="U43" s="1"/>
  <c r="AK60"/>
  <c r="AN60"/>
  <c r="AD37"/>
  <c r="AF37" s="1"/>
  <c r="AD36"/>
  <c r="AF36" s="1"/>
  <c r="AD51"/>
  <c r="AF51" s="1"/>
  <c r="AD67"/>
  <c r="AF67" s="1"/>
  <c r="AD13"/>
  <c r="AF13" s="1"/>
  <c r="AD40"/>
  <c r="AF40" s="1"/>
  <c r="AD10"/>
  <c r="AF10" s="1"/>
  <c r="AD26"/>
  <c r="AF26" s="1"/>
  <c r="AD41"/>
  <c r="AF41" s="1"/>
  <c r="AD19"/>
  <c r="AF19" s="1"/>
  <c r="CX4" l="1"/>
  <c r="DA4" s="1"/>
  <c r="DB4" s="1"/>
  <c r="T8" s="1"/>
  <c r="AA8" s="1"/>
  <c r="AA68"/>
  <c r="AC24" i="1"/>
  <c r="AH36" i="2"/>
  <c r="AM36" s="1"/>
  <c r="AG36"/>
  <c r="G65" i="1"/>
  <c r="L65"/>
  <c r="J65"/>
  <c r="AG67" i="2"/>
  <c r="AH67" s="1"/>
  <c r="AM67" s="1"/>
  <c r="J66" i="1"/>
  <c r="L66" s="1"/>
  <c r="G66"/>
  <c r="J46"/>
  <c r="G46"/>
  <c r="L46"/>
  <c r="J26"/>
  <c r="L26" s="1"/>
  <c r="AH29" i="2"/>
  <c r="AM29" s="1"/>
  <c r="AG29"/>
  <c r="AG31"/>
  <c r="AH31"/>
  <c r="AM31" s="1"/>
  <c r="GY4"/>
  <c r="T43" s="1"/>
  <c r="AA43" s="1"/>
  <c r="AH64"/>
  <c r="AM64" s="1"/>
  <c r="AG64"/>
  <c r="L50" i="1"/>
  <c r="J50"/>
  <c r="G50"/>
  <c r="L33"/>
  <c r="J33"/>
  <c r="G33"/>
  <c r="AH24" i="2"/>
  <c r="AM24" s="1"/>
  <c r="AG24"/>
  <c r="L24" i="1"/>
  <c r="G24"/>
  <c r="J24"/>
  <c r="G35"/>
  <c r="L35"/>
  <c r="J35"/>
  <c r="G41"/>
  <c r="J41"/>
  <c r="L41" s="1"/>
  <c r="L11"/>
  <c r="J11"/>
  <c r="G11"/>
  <c r="L48"/>
  <c r="G48"/>
  <c r="J48"/>
  <c r="G16"/>
  <c r="L16"/>
  <c r="J16"/>
  <c r="J30"/>
  <c r="L30" s="1"/>
  <c r="G30"/>
  <c r="AH17" i="2"/>
  <c r="AM17" s="1"/>
  <c r="AG17"/>
  <c r="J43" i="1"/>
  <c r="L43" s="1"/>
  <c r="AG45" i="2"/>
  <c r="AH45" s="1"/>
  <c r="AM45" s="1"/>
  <c r="FN4"/>
  <c r="FQ4" s="1"/>
  <c r="Q68" s="1"/>
  <c r="L27" i="1"/>
  <c r="J27"/>
  <c r="G27"/>
  <c r="AG12" i="2"/>
  <c r="AH12" s="1"/>
  <c r="AM12" s="1"/>
  <c r="AH32"/>
  <c r="AM32" s="1"/>
  <c r="AG32"/>
  <c r="EF4"/>
  <c r="EE4"/>
  <c r="EG4" s="1"/>
  <c r="EJ4" s="1"/>
  <c r="Q47" s="1"/>
  <c r="Y47" s="1"/>
  <c r="L23" i="1"/>
  <c r="J23"/>
  <c r="G23"/>
  <c r="L55"/>
  <c r="J55"/>
  <c r="G55"/>
  <c r="AH62" i="2"/>
  <c r="AM62" s="1"/>
  <c r="AG62"/>
  <c r="AG48"/>
  <c r="AH48" s="1"/>
  <c r="AM48" s="1"/>
  <c r="L47" i="1"/>
  <c r="J47"/>
  <c r="AG30" i="2"/>
  <c r="AH30" s="1"/>
  <c r="L15" i="1"/>
  <c r="J15"/>
  <c r="AN61" i="2"/>
  <c r="AK61"/>
  <c r="AG11"/>
  <c r="AH11" s="1"/>
  <c r="AG59"/>
  <c r="AH59" s="1"/>
  <c r="AM59" s="1"/>
  <c r="L53" i="1"/>
  <c r="J53"/>
  <c r="J29"/>
  <c r="L29" s="1"/>
  <c r="AG40" i="2"/>
  <c r="AH40" s="1"/>
  <c r="AH10"/>
  <c r="AM10" s="1"/>
  <c r="AG10"/>
  <c r="AG23"/>
  <c r="AH23" s="1"/>
  <c r="AM23" s="1"/>
  <c r="G61" i="1"/>
  <c r="L61"/>
  <c r="J61"/>
  <c r="J25"/>
  <c r="L25"/>
  <c r="G25"/>
  <c r="L22"/>
  <c r="J22"/>
  <c r="G22"/>
  <c r="AG25" i="2"/>
  <c r="AH25" s="1"/>
  <c r="AM25" s="1"/>
  <c r="G58" i="1"/>
  <c r="L58"/>
  <c r="J58"/>
  <c r="J34"/>
  <c r="L34" s="1"/>
  <c r="J17"/>
  <c r="L17" s="1"/>
  <c r="G17"/>
  <c r="J59"/>
  <c r="L59" s="1"/>
  <c r="AG42" i="2"/>
  <c r="AH42" s="1"/>
  <c r="AM42" s="1"/>
  <c r="AG57"/>
  <c r="AH57" s="1"/>
  <c r="L60" i="1"/>
  <c r="J60"/>
  <c r="G60"/>
  <c r="J52"/>
  <c r="L52"/>
  <c r="G52"/>
  <c r="Z43" i="2"/>
  <c r="AC43" s="1"/>
  <c r="AB43"/>
  <c r="G54" i="1"/>
  <c r="L54"/>
  <c r="J54"/>
  <c r="J14"/>
  <c r="L14" s="1"/>
  <c r="G67"/>
  <c r="J67"/>
  <c r="L67" s="1"/>
  <c r="AG13" i="2"/>
  <c r="AH13" s="1"/>
  <c r="AG55"/>
  <c r="AH55" s="1"/>
  <c r="AG41"/>
  <c r="AH41" s="1"/>
  <c r="AM41" s="1"/>
  <c r="J37" i="1"/>
  <c r="L37" s="1"/>
  <c r="G37"/>
  <c r="G69"/>
  <c r="L69"/>
  <c r="J69"/>
  <c r="AG38" i="2"/>
  <c r="AH38" s="1"/>
  <c r="AM38" s="1"/>
  <c r="J64" i="1"/>
  <c r="G64"/>
  <c r="L64"/>
  <c r="G68"/>
  <c r="J68"/>
  <c r="L68" s="1"/>
  <c r="J36"/>
  <c r="L36" s="1"/>
  <c r="G36"/>
  <c r="G71"/>
  <c r="L71"/>
  <c r="J71"/>
  <c r="AG51" i="2"/>
  <c r="AH51" s="1"/>
  <c r="AG27"/>
  <c r="AH27"/>
  <c r="AM27" s="1"/>
  <c r="AG9"/>
  <c r="AH9" s="1"/>
  <c r="AM9" s="1"/>
  <c r="J31" i="1"/>
  <c r="L31"/>
  <c r="G31"/>
  <c r="AH33" i="2"/>
  <c r="AM33" s="1"/>
  <c r="AG33"/>
  <c r="AH53"/>
  <c r="AM53" s="1"/>
  <c r="AG53"/>
  <c r="AG26"/>
  <c r="AH26" s="1"/>
  <c r="AG16"/>
  <c r="AH16" s="1"/>
  <c r="AM16" s="1"/>
  <c r="G44" i="1"/>
  <c r="L44"/>
  <c r="J44"/>
  <c r="G19"/>
  <c r="L19"/>
  <c r="J19"/>
  <c r="J32"/>
  <c r="L32" s="1"/>
  <c r="J38"/>
  <c r="L38" s="1"/>
  <c r="G38"/>
  <c r="J21"/>
  <c r="L21" s="1"/>
  <c r="AD61" i="2"/>
  <c r="AF61" s="1"/>
  <c r="J39" i="1"/>
  <c r="L39"/>
  <c r="G39"/>
  <c r="G20"/>
  <c r="J20"/>
  <c r="L20" s="1"/>
  <c r="AH50" i="2"/>
  <c r="AM50" s="1"/>
  <c r="AG50"/>
  <c r="J13" i="1"/>
  <c r="L13" s="1"/>
  <c r="AH49" i="2"/>
  <c r="AM49" s="1"/>
  <c r="AG49"/>
  <c r="L42" i="1"/>
  <c r="J42"/>
  <c r="J57"/>
  <c r="L57" s="1"/>
  <c r="L62"/>
  <c r="J62"/>
  <c r="G62"/>
  <c r="AG19" i="2"/>
  <c r="AH19" s="1"/>
  <c r="L51" i="1"/>
  <c r="J51"/>
  <c r="G40"/>
  <c r="L40"/>
  <c r="J40"/>
  <c r="AH37" i="2"/>
  <c r="AM37" s="1"/>
  <c r="AG37"/>
  <c r="J18" i="1"/>
  <c r="L18"/>
  <c r="G18"/>
  <c r="L28"/>
  <c r="J28"/>
  <c r="AG44" i="2"/>
  <c r="AH44" s="1"/>
  <c r="AM44" s="1"/>
  <c r="L56" i="1"/>
  <c r="J56"/>
  <c r="G56"/>
  <c r="G12"/>
  <c r="L12"/>
  <c r="J12"/>
  <c r="AE8" i="2" l="1"/>
  <c r="AM26"/>
  <c r="G28" i="1"/>
  <c r="AM40" i="2"/>
  <c r="G42" i="1"/>
  <c r="EH4" i="2"/>
  <c r="EI4" s="1"/>
  <c r="T47" s="1"/>
  <c r="AA47" s="1"/>
  <c r="AE47" s="1"/>
  <c r="AI8"/>
  <c r="AJ8"/>
  <c r="G51" i="1"/>
  <c r="CZ4" i="2"/>
  <c r="DC4" s="1"/>
  <c r="Q8" s="1"/>
  <c r="Y8" s="1"/>
  <c r="G26" i="1"/>
  <c r="AM30" i="2"/>
  <c r="G32" i="1"/>
  <c r="AM19" i="2"/>
  <c r="G21" i="1"/>
  <c r="AM13" i="2"/>
  <c r="G15" i="1"/>
  <c r="AM55" i="2"/>
  <c r="G57" i="1"/>
  <c r="AM11" i="2"/>
  <c r="G13" i="1"/>
  <c r="AM51" i="2"/>
  <c r="G53" i="1"/>
  <c r="AM57" i="2"/>
  <c r="G59" i="1"/>
  <c r="AB47" i="2"/>
  <c r="AD47" s="1"/>
  <c r="Z47"/>
  <c r="AC47" s="1"/>
  <c r="AI68"/>
  <c r="G43" i="1"/>
  <c r="G29"/>
  <c r="AI47" i="2"/>
  <c r="AJ47"/>
  <c r="G63" i="1"/>
  <c r="J63"/>
  <c r="L63"/>
  <c r="AB8" i="2"/>
  <c r="Z8"/>
  <c r="AC8" s="1"/>
  <c r="Y22" i="1"/>
  <c r="U22"/>
  <c r="W22" s="1"/>
  <c r="AC23"/>
  <c r="AG61" i="2"/>
  <c r="AH61" s="1"/>
  <c r="AM61" s="1"/>
  <c r="Y68"/>
  <c r="AC16" i="1"/>
  <c r="AE43" i="2"/>
  <c r="AJ43"/>
  <c r="AI43"/>
  <c r="G47" i="1"/>
  <c r="G14"/>
  <c r="AD43" i="2"/>
  <c r="AF43" s="1"/>
  <c r="G34" i="1"/>
  <c r="AK8" i="2"/>
  <c r="AN8"/>
  <c r="AD8" l="1"/>
  <c r="AF8" s="1"/>
  <c r="AG8" s="1"/>
  <c r="AF47"/>
  <c r="AG43"/>
  <c r="AH43" s="1"/>
  <c r="AM43" s="1"/>
  <c r="AB68"/>
  <c r="Z68"/>
  <c r="AC68" s="1"/>
  <c r="AN47"/>
  <c r="AK47"/>
  <c r="G10" i="1"/>
  <c r="L10"/>
  <c r="J10"/>
  <c r="AE68" i="2"/>
  <c r="U21" i="1"/>
  <c r="W21" s="1"/>
  <c r="Y21"/>
  <c r="AK43" i="2"/>
  <c r="AN43"/>
  <c r="AJ68"/>
  <c r="AC15" i="1"/>
  <c r="AC18"/>
  <c r="W15"/>
  <c r="U15"/>
  <c r="AH8" i="2" l="1"/>
  <c r="AM8" s="1"/>
  <c r="AG47"/>
  <c r="AH47" s="1"/>
  <c r="AM47" s="1"/>
  <c r="L49" i="1"/>
  <c r="J49"/>
  <c r="G49"/>
  <c r="AD19"/>
  <c r="Y19"/>
  <c r="X27" s="1"/>
  <c r="U17"/>
  <c r="W17" s="1"/>
  <c r="AK68" i="2"/>
  <c r="AN68"/>
  <c r="AC9" i="1" s="1"/>
  <c r="L45"/>
  <c r="G45"/>
  <c r="J45"/>
  <c r="U14"/>
  <c r="W14" s="1"/>
  <c r="AD68" i="2"/>
  <c r="AF68" s="1"/>
  <c r="AC20" i="1" l="1"/>
  <c r="AC26"/>
  <c r="AE8"/>
  <c r="AC28"/>
  <c r="P9"/>
  <c r="V9" s="1"/>
  <c r="AG68" i="2"/>
  <c r="AH68" s="1"/>
  <c r="L70" i="1"/>
  <c r="J70"/>
  <c r="AM68" i="2" l="1"/>
  <c r="G70" i="1"/>
  <c r="AD26"/>
  <c r="AC27" s="1"/>
  <c r="U19"/>
  <c r="W19" s="1"/>
  <c r="U25"/>
  <c r="W25"/>
  <c r="W24" l="1"/>
  <c r="U24"/>
  <c r="AC29"/>
  <c r="U26" l="1"/>
  <c r="W26"/>
  <c r="AC30"/>
  <c r="V27" s="1"/>
  <c r="U27" l="1"/>
  <c r="AC31"/>
  <c r="AB42" s="1"/>
  <c r="AJ42" l="1"/>
  <c r="AS42"/>
  <c r="X42" s="1"/>
  <c r="AW42" s="1"/>
  <c r="BI42" s="1"/>
</calcChain>
</file>

<file path=xl/comments1.xml><?xml version="1.0" encoding="utf-8"?>
<comments xmlns="http://schemas.openxmlformats.org/spreadsheetml/2006/main">
  <authors>
    <author>Igor</author>
  </authors>
  <commentList>
    <comment ref="AF42" authorId="0">
      <text>
        <r>
          <rPr>
            <b/>
            <sz val="9"/>
            <color indexed="81"/>
            <rFont val="Tahoma"/>
            <family val="2"/>
            <charset val="204"/>
          </rPr>
          <t>BEARING TO OBGECT</t>
        </r>
      </text>
    </comment>
  </commentList>
</comments>
</file>

<file path=xl/sharedStrings.xml><?xml version="1.0" encoding="utf-8"?>
<sst xmlns="http://schemas.openxmlformats.org/spreadsheetml/2006/main" count="528" uniqueCount="220">
  <si>
    <t>Latitude</t>
  </si>
  <si>
    <t>Longitude</t>
  </si>
  <si>
    <t>E</t>
  </si>
  <si>
    <t>UTC</t>
  </si>
  <si>
    <t>Moon</t>
  </si>
  <si>
    <t>Your bearing</t>
  </si>
  <si>
    <t>Incr.</t>
  </si>
  <si>
    <t>g</t>
  </si>
  <si>
    <t>P</t>
  </si>
  <si>
    <t>decl.</t>
  </si>
  <si>
    <t>d</t>
  </si>
  <si>
    <t>A</t>
  </si>
  <si>
    <t>B</t>
  </si>
  <si>
    <t>C</t>
  </si>
  <si>
    <t>Z</t>
  </si>
  <si>
    <t>/v</t>
  </si>
  <si>
    <t>Height</t>
  </si>
  <si>
    <t>Sun</t>
  </si>
  <si>
    <t>Acamar</t>
  </si>
  <si>
    <t>Achernar</t>
  </si>
  <si>
    <t>Acrux</t>
  </si>
  <si>
    <t>Adhara</t>
  </si>
  <si>
    <t>Aldebaran</t>
  </si>
  <si>
    <t>Alioth</t>
  </si>
  <si>
    <t>Alkaid</t>
  </si>
  <si>
    <t>Al Na'ir</t>
  </si>
  <si>
    <t>Alnilam</t>
  </si>
  <si>
    <t>Alphard</t>
  </si>
  <si>
    <t>Alphecca</t>
  </si>
  <si>
    <t>Alpheratz</t>
  </si>
  <si>
    <t>Altair</t>
  </si>
  <si>
    <t>Ankaa</t>
  </si>
  <si>
    <t>Antares</t>
  </si>
  <si>
    <t>Arcturus</t>
  </si>
  <si>
    <t>Atria</t>
  </si>
  <si>
    <t>Avior</t>
  </si>
  <si>
    <t>Bellatrix</t>
  </si>
  <si>
    <t>Betelgeuse</t>
  </si>
  <si>
    <t>Canopus</t>
  </si>
  <si>
    <t>Capella</t>
  </si>
  <si>
    <t>Deneb</t>
  </si>
  <si>
    <t>Denebola</t>
  </si>
  <si>
    <t>Diphda</t>
  </si>
  <si>
    <t>Dubhe</t>
  </si>
  <si>
    <t>Elnath</t>
  </si>
  <si>
    <t>Eltanin</t>
  </si>
  <si>
    <t>Enif</t>
  </si>
  <si>
    <t>Formalhaut</t>
  </si>
  <si>
    <t>Gacrux</t>
  </si>
  <si>
    <t>Gienah</t>
  </si>
  <si>
    <t>Hadar</t>
  </si>
  <si>
    <t>Hamal</t>
  </si>
  <si>
    <t>Jupiter</t>
  </si>
  <si>
    <t>Kaus Austr.</t>
  </si>
  <si>
    <t>Kochab</t>
  </si>
  <si>
    <t>Markab</t>
  </si>
  <si>
    <t>Mars</t>
  </si>
  <si>
    <t>Menkar</t>
  </si>
  <si>
    <t>Menkent</t>
  </si>
  <si>
    <t>Miaplacidus</t>
  </si>
  <si>
    <t>Mirfak</t>
  </si>
  <si>
    <t>Nunki</t>
  </si>
  <si>
    <t>Peacock</t>
  </si>
  <si>
    <t>Pollux</t>
  </si>
  <si>
    <t>Procyon</t>
  </si>
  <si>
    <t>Rasalhague</t>
  </si>
  <si>
    <t>Regulus</t>
  </si>
  <si>
    <t>Rigel</t>
  </si>
  <si>
    <t>Rigil Kent</t>
  </si>
  <si>
    <t>Sabik</t>
  </si>
  <si>
    <t>Saturnus</t>
  </si>
  <si>
    <t>Schedar</t>
  </si>
  <si>
    <t>Shaula</t>
  </si>
  <si>
    <t>Sirius</t>
  </si>
  <si>
    <t>Spica</t>
  </si>
  <si>
    <t>Suhail</t>
  </si>
  <si>
    <t>Vega</t>
  </si>
  <si>
    <t>Venus</t>
  </si>
  <si>
    <t>Zuben'ubi</t>
  </si>
  <si>
    <t>Name</t>
  </si>
  <si>
    <t>SUN</t>
  </si>
  <si>
    <t>RA2000</t>
  </si>
  <si>
    <t>DEC2000</t>
  </si>
  <si>
    <t>SHApr</t>
  </si>
  <si>
    <t>Decpr</t>
  </si>
  <si>
    <t>nutdl</t>
  </si>
  <si>
    <t>nutde</t>
  </si>
  <si>
    <t>SHA</t>
  </si>
  <si>
    <t>decl</t>
  </si>
  <si>
    <t>t</t>
  </si>
  <si>
    <t>Om</t>
  </si>
  <si>
    <t>L</t>
  </si>
  <si>
    <t>L1</t>
  </si>
  <si>
    <t>e</t>
  </si>
  <si>
    <t>dp</t>
  </si>
  <si>
    <t>de</t>
  </si>
  <si>
    <t>corr</t>
  </si>
  <si>
    <t>GHAAries</t>
  </si>
  <si>
    <t>G</t>
  </si>
  <si>
    <t>ec</t>
  </si>
  <si>
    <t>l</t>
  </si>
  <si>
    <t>declsun</t>
  </si>
  <si>
    <t>Y</t>
  </si>
  <si>
    <t>X</t>
  </si>
  <si>
    <t>a</t>
  </si>
  <si>
    <t>LST</t>
  </si>
  <si>
    <t>GHAsun</t>
  </si>
  <si>
    <t>Ns</t>
  </si>
  <si>
    <t>is</t>
  </si>
  <si>
    <t>ws</t>
  </si>
  <si>
    <t>as</t>
  </si>
  <si>
    <t>es</t>
  </si>
  <si>
    <t>Ms</t>
  </si>
  <si>
    <t>Es</t>
  </si>
  <si>
    <t>ecl</t>
  </si>
  <si>
    <t>xv</t>
  </si>
  <si>
    <t>yv</t>
  </si>
  <si>
    <t>vs</t>
  </si>
  <si>
    <t>rs</t>
  </si>
  <si>
    <t>lons</t>
  </si>
  <si>
    <t>xs</t>
  </si>
  <si>
    <t>ys</t>
  </si>
  <si>
    <t>xe</t>
  </si>
  <si>
    <t>ye</t>
  </si>
  <si>
    <t>ze</t>
  </si>
  <si>
    <t>Ras</t>
  </si>
  <si>
    <t>x</t>
  </si>
  <si>
    <t>Decs</t>
  </si>
  <si>
    <t>Nm</t>
  </si>
  <si>
    <t>im</t>
  </si>
  <si>
    <t>wm</t>
  </si>
  <si>
    <t>am</t>
  </si>
  <si>
    <t>em</t>
  </si>
  <si>
    <t>Mm</t>
  </si>
  <si>
    <t>Em</t>
  </si>
  <si>
    <t>xvm</t>
  </si>
  <si>
    <t>yvm</t>
  </si>
  <si>
    <t>vm</t>
  </si>
  <si>
    <t>rm</t>
  </si>
  <si>
    <t>xh</t>
  </si>
  <si>
    <t>yh</t>
  </si>
  <si>
    <t>zh</t>
  </si>
  <si>
    <t>loneclm</t>
  </si>
  <si>
    <t>latecl</t>
  </si>
  <si>
    <t>Ls</t>
  </si>
  <si>
    <t>Lm</t>
  </si>
  <si>
    <t>D</t>
  </si>
  <si>
    <t>F</t>
  </si>
  <si>
    <t>dlo1</t>
  </si>
  <si>
    <t>dlo2</t>
  </si>
  <si>
    <t>dlo3</t>
  </si>
  <si>
    <t>dlo4</t>
  </si>
  <si>
    <t>dlo5</t>
  </si>
  <si>
    <t>dlo6</t>
  </si>
  <si>
    <t>dlo7</t>
  </si>
  <si>
    <t>dlo8</t>
  </si>
  <si>
    <t>dlo9</t>
  </si>
  <si>
    <t>dlo10</t>
  </si>
  <si>
    <t>dlo11</t>
  </si>
  <si>
    <t>dlo12</t>
  </si>
  <si>
    <t>lonm</t>
  </si>
  <si>
    <t>dla1</t>
  </si>
  <si>
    <t>dla2</t>
  </si>
  <si>
    <t>dla3</t>
  </si>
  <si>
    <t>dla4</t>
  </si>
  <si>
    <t>dla5</t>
  </si>
  <si>
    <t>latm</t>
  </si>
  <si>
    <t>rm1</t>
  </si>
  <si>
    <t>xg</t>
  </si>
  <si>
    <t>yg</t>
  </si>
  <si>
    <t>zg</t>
  </si>
  <si>
    <t>Ram</t>
  </si>
  <si>
    <t>Declm</t>
  </si>
  <si>
    <t>GHA</t>
  </si>
  <si>
    <t>Nmars</t>
  </si>
  <si>
    <t>imars</t>
  </si>
  <si>
    <t>wmars</t>
  </si>
  <si>
    <t>amars</t>
  </si>
  <si>
    <t>emars</t>
  </si>
  <si>
    <t>Mmars</t>
  </si>
  <si>
    <t>Emars</t>
  </si>
  <si>
    <t>xvmars</t>
  </si>
  <si>
    <t>yvmars</t>
  </si>
  <si>
    <t>vmars</t>
  </si>
  <si>
    <t>rmars</t>
  </si>
  <si>
    <t>xhmars</t>
  </si>
  <si>
    <t>yhmars</t>
  </si>
  <si>
    <t>zhmars</t>
  </si>
  <si>
    <t>loneclmars</t>
  </si>
  <si>
    <t>lateclmars</t>
  </si>
  <si>
    <t>loncorr</t>
  </si>
  <si>
    <t>Ramars</t>
  </si>
  <si>
    <t>Decmars</t>
  </si>
  <si>
    <t>N</t>
  </si>
  <si>
    <t>i</t>
  </si>
  <si>
    <t>w</t>
  </si>
  <si>
    <t>M</t>
  </si>
  <si>
    <t>v</t>
  </si>
  <si>
    <t>r</t>
  </si>
  <si>
    <t>lonecl</t>
  </si>
  <si>
    <t>RA</t>
  </si>
  <si>
    <t>Dec</t>
  </si>
  <si>
    <t>lo1</t>
  </si>
  <si>
    <t>locorr</t>
  </si>
  <si>
    <t>la1</t>
  </si>
  <si>
    <t>lacorr</t>
  </si>
  <si>
    <t>Aries</t>
  </si>
  <si>
    <t>OBJECTS</t>
  </si>
  <si>
    <t xml:space="preserve">Azimuth: </t>
  </si>
  <si>
    <t>DATE</t>
  </si>
  <si>
    <t>SHIP'S HEAD</t>
  </si>
  <si>
    <t>BEARING</t>
  </si>
  <si>
    <t>OBJECT</t>
  </si>
  <si>
    <t>ERROR</t>
  </si>
  <si>
    <t>VARIATION</t>
  </si>
  <si>
    <t>DEVIATION</t>
  </si>
  <si>
    <t>GYRO</t>
  </si>
  <si>
    <t>STANDART</t>
  </si>
  <si>
    <t>STEERING</t>
  </si>
  <si>
    <t>TRUE</t>
  </si>
</sst>
</file>

<file path=xl/styles.xml><?xml version="1.0" encoding="utf-8"?>
<styleSheet xmlns="http://schemas.openxmlformats.org/spreadsheetml/2006/main">
  <numFmts count="16">
    <numFmt numFmtId="164" formatCode="00"/>
    <numFmt numFmtId="165" formatCode="00.0"/>
    <numFmt numFmtId="166" formatCode="000.0"/>
    <numFmt numFmtId="167" formatCode="00.0&quot; )&quot;"/>
    <numFmt numFmtId="168" formatCode="[$-409]d\ mmm/\ yyyy;@"/>
    <numFmt numFmtId="169" formatCode="00&quot;h&quot;"/>
    <numFmt numFmtId="170" formatCode="00&quot;m&quot;"/>
    <numFmt numFmtId="171" formatCode="00&quot;s&quot;"/>
    <numFmt numFmtId="172" formatCode="00&quot;°&quot;"/>
    <numFmt numFmtId="173" formatCode="000&quot;°&quot;"/>
    <numFmt numFmtId="174" formatCode="00.0&quot;'&quot;"/>
    <numFmt numFmtId="175" formatCode="000.0&quot;°&quot;"/>
    <numFmt numFmtId="176" formatCode="0.0&quot;°E&quot;;0.0&quot;°W&quot;"/>
    <numFmt numFmtId="177" formatCode="&quot;( Altitude: &quot;00;&quot;( Altitude: &quot;00"/>
    <numFmt numFmtId="178" formatCode="&quot;UTC= LT - &quot;0;&quot;UTC= LT + &quot;0"/>
    <numFmt numFmtId="179" formatCode="0.0"/>
  </numFmts>
  <fonts count="19">
    <font>
      <sz val="10"/>
      <name val="Times New Roman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Unicode MS"/>
      <family val="2"/>
      <charset val="204"/>
    </font>
    <font>
      <u/>
      <sz val="10"/>
      <name val="Arial"/>
      <family val="2"/>
      <charset val="204"/>
    </font>
    <font>
      <i/>
      <sz val="10"/>
      <name val="Arial"/>
      <family val="2"/>
      <charset val="204"/>
    </font>
    <font>
      <b/>
      <sz val="10"/>
      <color indexed="9"/>
      <name val="Arial"/>
      <family val="2"/>
      <charset val="204"/>
    </font>
    <font>
      <sz val="10"/>
      <color indexed="22"/>
      <name val="Arial"/>
      <family val="2"/>
      <charset val="204"/>
    </font>
    <font>
      <sz val="8"/>
      <name val="Times New Roman"/>
      <family val="1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u/>
      <sz val="10"/>
      <name val="Arial"/>
      <family val="2"/>
      <charset val="204"/>
    </font>
    <font>
      <sz val="16"/>
      <name val="Arial"/>
      <family val="2"/>
      <charset val="204"/>
    </font>
    <font>
      <i/>
      <sz val="11"/>
      <name val="Arial"/>
      <family val="2"/>
      <charset val="204"/>
    </font>
    <font>
      <sz val="8"/>
      <name val="Tahoma"/>
      <family val="2"/>
      <charset val="204"/>
    </font>
    <font>
      <sz val="10"/>
      <color indexed="9"/>
      <name val="Arial"/>
      <family val="2"/>
      <charset val="204"/>
    </font>
    <font>
      <b/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2" fillId="0" borderId="0" xfId="0" applyFont="1" applyBorder="1" applyProtection="1">
      <protection hidden="1"/>
    </xf>
    <xf numFmtId="0" fontId="0" fillId="0" borderId="0" xfId="0" applyFill="1" applyBorder="1" applyProtection="1">
      <protection hidden="1"/>
    </xf>
    <xf numFmtId="49" fontId="0" fillId="0" borderId="0" xfId="0" applyNumberFormat="1" applyProtection="1">
      <protection hidden="1"/>
    </xf>
    <xf numFmtId="165" fontId="0" fillId="0" borderId="0" xfId="0" applyNumberFormat="1" applyProtection="1">
      <protection hidden="1"/>
    </xf>
    <xf numFmtId="0" fontId="3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0" fontId="0" fillId="0" borderId="0" xfId="0" applyNumberFormat="1" applyProtection="1">
      <protection hidden="1"/>
    </xf>
    <xf numFmtId="0" fontId="3" fillId="0" borderId="0" xfId="0" applyFont="1" applyFill="1" applyProtection="1">
      <protection hidden="1"/>
    </xf>
    <xf numFmtId="0" fontId="0" fillId="0" borderId="0" xfId="0" quotePrefix="1" applyFill="1" applyProtection="1">
      <protection hidden="1"/>
    </xf>
    <xf numFmtId="0" fontId="0" fillId="2" borderId="0" xfId="0" applyFill="1" applyProtection="1">
      <protection hidden="1"/>
    </xf>
    <xf numFmtId="165" fontId="0" fillId="0" borderId="0" xfId="0" applyNumberFormat="1" applyFill="1" applyProtection="1"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2" fillId="0" borderId="0" xfId="0" applyFont="1" applyFill="1" applyBorder="1" applyAlignment="1" applyProtection="1">
      <alignment vertical="center" shrinkToFit="1"/>
      <protection hidden="1"/>
    </xf>
    <xf numFmtId="0" fontId="13" fillId="0" borderId="0" xfId="0" applyFont="1" applyFill="1" applyBorder="1" applyAlignment="1" applyProtection="1">
      <alignment vertical="center" shrinkToFit="1"/>
      <protection hidden="1"/>
    </xf>
    <xf numFmtId="0" fontId="7" fillId="0" borderId="0" xfId="0" applyFont="1" applyAlignment="1" applyProtection="1">
      <alignment vertical="center" shrinkToFit="1"/>
      <protection hidden="1"/>
    </xf>
    <xf numFmtId="0" fontId="1" fillId="0" borderId="0" xfId="0" applyFont="1" applyAlignment="1" applyProtection="1">
      <alignment vertical="center" shrinkToFit="1"/>
      <protection hidden="1"/>
    </xf>
    <xf numFmtId="0" fontId="1" fillId="0" borderId="0" xfId="0" applyFont="1" applyFill="1" applyAlignment="1" applyProtection="1">
      <alignment vertical="center" shrinkToFit="1"/>
      <protection hidden="1"/>
    </xf>
    <xf numFmtId="0" fontId="1" fillId="0" borderId="1" xfId="0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Border="1" applyAlignment="1" applyProtection="1">
      <alignment vertical="center" shrinkToFit="1"/>
      <protection hidden="1"/>
    </xf>
    <xf numFmtId="0" fontId="4" fillId="0" borderId="0" xfId="0" applyFont="1" applyFill="1" applyBorder="1" applyAlignment="1" applyProtection="1">
      <alignment vertical="center" shrinkToFit="1"/>
      <protection hidden="1"/>
    </xf>
    <xf numFmtId="0" fontId="1" fillId="0" borderId="0" xfId="0" applyFont="1" applyBorder="1" applyAlignment="1" applyProtection="1">
      <alignment vertical="center" shrinkToFit="1"/>
      <protection hidden="1"/>
    </xf>
    <xf numFmtId="0" fontId="5" fillId="0" borderId="0" xfId="0" applyFont="1" applyFill="1" applyBorder="1" applyAlignment="1" applyProtection="1">
      <alignment vertical="center" shrinkToFit="1"/>
      <protection hidden="1"/>
    </xf>
    <xf numFmtId="165" fontId="5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0" xfId="0" applyFont="1" applyFill="1" applyBorder="1" applyAlignment="1" applyProtection="1">
      <alignment vertical="center" shrinkToFit="1"/>
      <protection hidden="1"/>
    </xf>
    <xf numFmtId="0" fontId="5" fillId="0" borderId="0" xfId="0" applyFont="1" applyFill="1" applyBorder="1" applyAlignment="1" applyProtection="1">
      <alignment horizontal="center" vertical="center" shrinkToFit="1"/>
      <protection hidden="1"/>
    </xf>
    <xf numFmtId="0" fontId="17" fillId="0" borderId="0" xfId="0" applyFont="1" applyAlignment="1" applyProtection="1">
      <alignment vertical="center" shrinkToFit="1"/>
      <protection hidden="1"/>
    </xf>
    <xf numFmtId="165" fontId="1" fillId="0" borderId="0" xfId="0" applyNumberFormat="1" applyFont="1" applyBorder="1" applyAlignment="1" applyProtection="1">
      <alignment vertical="center" shrinkToFit="1"/>
      <protection hidden="1"/>
    </xf>
    <xf numFmtId="0" fontId="5" fillId="0" borderId="0" xfId="0" applyFont="1" applyAlignment="1" applyProtection="1">
      <alignment vertical="center" shrinkToFit="1"/>
      <protection hidden="1"/>
    </xf>
    <xf numFmtId="0" fontId="1" fillId="0" borderId="0" xfId="0" applyFont="1" applyBorder="1" applyAlignment="1" applyProtection="1">
      <alignment horizontal="center" vertical="center" shrinkToFit="1"/>
      <protection hidden="1"/>
    </xf>
    <xf numFmtId="166" fontId="1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1" fillId="0" borderId="2" xfId="0" applyFont="1" applyBorder="1" applyAlignment="1" applyProtection="1">
      <alignment vertical="center" shrinkToFit="1"/>
      <protection hidden="1"/>
    </xf>
    <xf numFmtId="0" fontId="1" fillId="0" borderId="3" xfId="0" applyFont="1" applyBorder="1" applyAlignment="1" applyProtection="1">
      <alignment vertical="center" shrinkToFit="1"/>
      <protection hidden="1"/>
    </xf>
    <xf numFmtId="22" fontId="1" fillId="0" borderId="0" xfId="0" applyNumberFormat="1" applyFont="1" applyAlignment="1" applyProtection="1">
      <alignment vertical="center" shrinkToFit="1"/>
      <protection hidden="1"/>
    </xf>
    <xf numFmtId="0" fontId="1" fillId="0" borderId="4" xfId="0" applyFont="1" applyBorder="1" applyAlignment="1" applyProtection="1">
      <alignment vertical="center" shrinkToFit="1"/>
      <protection hidden="1"/>
    </xf>
    <xf numFmtId="0" fontId="1" fillId="0" borderId="5" xfId="0" applyFont="1" applyBorder="1" applyAlignment="1" applyProtection="1">
      <alignment vertical="center" shrinkToFit="1"/>
      <protection hidden="1"/>
    </xf>
    <xf numFmtId="14" fontId="1" fillId="0" borderId="0" xfId="0" applyNumberFormat="1" applyFont="1" applyBorder="1" applyAlignment="1" applyProtection="1">
      <alignment vertical="center" shrinkToFit="1"/>
      <protection hidden="1"/>
    </xf>
    <xf numFmtId="166" fontId="6" fillId="0" borderId="0" xfId="0" applyNumberFormat="1" applyFont="1" applyFill="1" applyBorder="1" applyAlignment="1" applyProtection="1">
      <alignment horizontal="center" vertical="center" shrinkToFit="1"/>
      <protection hidden="1"/>
    </xf>
    <xf numFmtId="166" fontId="2" fillId="0" borderId="0" xfId="0" applyNumberFormat="1" applyFont="1" applyFill="1" applyBorder="1" applyAlignment="1" applyProtection="1">
      <alignment horizontal="center" vertical="center" shrinkToFit="1"/>
      <protection hidden="1"/>
    </xf>
    <xf numFmtId="166" fontId="17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14" fillId="0" borderId="0" xfId="0" applyFont="1" applyBorder="1" applyAlignment="1" applyProtection="1">
      <alignment vertical="center" shrinkToFit="1"/>
      <protection hidden="1"/>
    </xf>
    <xf numFmtId="0" fontId="1" fillId="0" borderId="0" xfId="0" applyFont="1" applyAlignment="1" applyProtection="1">
      <alignment horizontal="center" vertical="center" shrinkToFit="1"/>
      <protection hidden="1"/>
    </xf>
    <xf numFmtId="0" fontId="6" fillId="0" borderId="0" xfId="0" applyFont="1" applyFill="1" applyBorder="1" applyAlignment="1" applyProtection="1">
      <alignment vertical="center" shrinkToFit="1"/>
      <protection hidden="1"/>
    </xf>
    <xf numFmtId="178" fontId="11" fillId="0" borderId="0" xfId="0" applyNumberFormat="1" applyFont="1" applyFill="1" applyBorder="1" applyAlignment="1" applyProtection="1">
      <alignment vertical="center" shrinkToFit="1"/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166" fontId="1" fillId="0" borderId="6" xfId="0" applyNumberFormat="1" applyFont="1" applyFill="1" applyBorder="1" applyAlignment="1" applyProtection="1">
      <alignment horizontal="center" vertical="center" shrinkToFit="1"/>
      <protection hidden="1"/>
    </xf>
    <xf numFmtId="166" fontId="1" fillId="0" borderId="0" xfId="0" applyNumberFormat="1" applyFont="1" applyFill="1" applyBorder="1" applyAlignment="1" applyProtection="1">
      <alignment horizontal="center" vertical="center" shrinkToFit="1"/>
      <protection hidden="1"/>
    </xf>
    <xf numFmtId="166" fontId="1" fillId="0" borderId="7" xfId="0" applyNumberFormat="1" applyFont="1" applyFill="1" applyBorder="1" applyAlignment="1" applyProtection="1">
      <alignment horizontal="center" vertical="center" shrinkToFit="1"/>
      <protection hidden="1"/>
    </xf>
    <xf numFmtId="166" fontId="1" fillId="0" borderId="8" xfId="0" applyNumberFormat="1" applyFont="1" applyFill="1" applyBorder="1" applyAlignment="1" applyProtection="1">
      <alignment horizontal="center" vertical="center" shrinkToFit="1"/>
      <protection hidden="1"/>
    </xf>
    <xf numFmtId="166" fontId="1" fillId="0" borderId="9" xfId="0" applyNumberFormat="1" applyFont="1" applyFill="1" applyBorder="1" applyAlignment="1" applyProtection="1">
      <alignment horizontal="center" vertical="center" shrinkToFit="1"/>
      <protection hidden="1"/>
    </xf>
    <xf numFmtId="166" fontId="1" fillId="0" borderId="10" xfId="0" applyNumberFormat="1" applyFont="1" applyFill="1" applyBorder="1" applyAlignment="1" applyProtection="1">
      <alignment horizontal="center" vertical="center" shrinkToFit="1"/>
      <protection hidden="1"/>
    </xf>
    <xf numFmtId="175" fontId="10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10" fillId="0" borderId="11" xfId="0" applyFont="1" applyFill="1" applyBorder="1" applyAlignment="1" applyProtection="1">
      <alignment horizontal="center" vertical="center" shrinkToFit="1"/>
      <protection hidden="1"/>
    </xf>
    <xf numFmtId="0" fontId="10" fillId="0" borderId="3" xfId="0" applyFont="1" applyFill="1" applyBorder="1" applyAlignment="1" applyProtection="1">
      <alignment horizontal="center" vertical="center" shrinkToFit="1"/>
      <protection hidden="1"/>
    </xf>
    <xf numFmtId="0" fontId="10" fillId="0" borderId="5" xfId="0" applyFont="1" applyFill="1" applyBorder="1" applyAlignment="1" applyProtection="1">
      <alignment horizontal="center" vertical="center" shrinkToFit="1"/>
      <protection hidden="1"/>
    </xf>
    <xf numFmtId="0" fontId="10" fillId="0" borderId="4" xfId="0" applyFont="1" applyFill="1" applyBorder="1" applyAlignment="1" applyProtection="1">
      <alignment horizontal="center" vertical="center" shrinkToFit="1"/>
      <protection hidden="1"/>
    </xf>
    <xf numFmtId="165" fontId="1" fillId="0" borderId="7" xfId="0" applyNumberFormat="1" applyFont="1" applyBorder="1" applyAlignment="1" applyProtection="1">
      <alignment vertical="center" shrinkToFit="1"/>
      <protection hidden="1"/>
    </xf>
    <xf numFmtId="0" fontId="1" fillId="3" borderId="12" xfId="0" applyFont="1" applyFill="1" applyBorder="1" applyAlignment="1" applyProtection="1">
      <alignment horizontal="center" vertical="center" shrinkToFit="1"/>
      <protection hidden="1"/>
    </xf>
    <xf numFmtId="0" fontId="1" fillId="3" borderId="13" xfId="0" applyFont="1" applyFill="1" applyBorder="1" applyAlignment="1" applyProtection="1">
      <alignment horizontal="center" vertical="center" shrinkToFit="1"/>
      <protection hidden="1"/>
    </xf>
    <xf numFmtId="0" fontId="1" fillId="3" borderId="14" xfId="0" applyFont="1" applyFill="1" applyBorder="1" applyAlignment="1" applyProtection="1">
      <alignment horizontal="center" vertical="center" shrinkToFit="1"/>
      <protection hidden="1"/>
    </xf>
    <xf numFmtId="0" fontId="1" fillId="3" borderId="11" xfId="0" applyFont="1" applyFill="1" applyBorder="1" applyAlignment="1" applyProtection="1">
      <alignment horizontal="center" vertical="center" shrinkToFit="1"/>
      <protection hidden="1"/>
    </xf>
    <xf numFmtId="0" fontId="1" fillId="0" borderId="13" xfId="0" applyFont="1" applyBorder="1" applyAlignment="1" applyProtection="1">
      <alignment horizontal="right" vertical="center" shrinkToFit="1"/>
      <protection hidden="1"/>
    </xf>
    <xf numFmtId="0" fontId="1" fillId="0" borderId="11" xfId="0" applyFont="1" applyBorder="1" applyAlignment="1" applyProtection="1">
      <alignment horizontal="right" vertical="center" shrinkToFit="1"/>
      <protection hidden="1"/>
    </xf>
    <xf numFmtId="166" fontId="1" fillId="0" borderId="15" xfId="0" applyNumberFormat="1" applyFont="1" applyFill="1" applyBorder="1" applyAlignment="1" applyProtection="1">
      <alignment horizontal="center" vertical="center" shrinkToFit="1"/>
      <protection hidden="1"/>
    </xf>
    <xf numFmtId="166" fontId="1" fillId="0" borderId="16" xfId="0" applyNumberFormat="1" applyFont="1" applyFill="1" applyBorder="1" applyAlignment="1" applyProtection="1">
      <alignment horizontal="center" vertical="center" shrinkToFit="1"/>
      <protection hidden="1"/>
    </xf>
    <xf numFmtId="166" fontId="1" fillId="0" borderId="17" xfId="0" applyNumberFormat="1" applyFont="1" applyFill="1" applyBorder="1" applyAlignment="1" applyProtection="1">
      <alignment horizontal="center" vertical="center" shrinkToFit="1"/>
      <protection hidden="1"/>
    </xf>
    <xf numFmtId="175" fontId="10" fillId="4" borderId="18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9" xfId="0" applyFont="1" applyFill="1" applyBorder="1" applyAlignment="1" applyProtection="1">
      <alignment horizontal="center" vertical="center" shrinkToFit="1"/>
      <protection hidden="1"/>
    </xf>
    <xf numFmtId="0" fontId="1" fillId="3" borderId="5" xfId="0" applyFont="1" applyFill="1" applyBorder="1" applyAlignment="1" applyProtection="1">
      <alignment horizontal="center" vertical="center" shrinkToFit="1"/>
      <protection hidden="1"/>
    </xf>
    <xf numFmtId="175" fontId="10" fillId="0" borderId="18" xfId="0" applyNumberFormat="1" applyFont="1" applyFill="1" applyBorder="1" applyAlignment="1" applyProtection="1">
      <alignment horizontal="center" vertical="center" shrinkToFit="1"/>
      <protection hidden="1"/>
    </xf>
    <xf numFmtId="2" fontId="1" fillId="0" borderId="11" xfId="0" applyNumberFormat="1" applyFont="1" applyBorder="1" applyAlignment="1" applyProtection="1">
      <alignment horizontal="right" vertical="center" shrinkToFit="1"/>
      <protection hidden="1"/>
    </xf>
    <xf numFmtId="0" fontId="9" fillId="3" borderId="14" xfId="0" applyFont="1" applyFill="1" applyBorder="1" applyAlignment="1" applyProtection="1">
      <alignment horizontal="center" vertical="center" shrinkToFit="1"/>
      <protection hidden="1"/>
    </xf>
    <xf numFmtId="0" fontId="9" fillId="3" borderId="11" xfId="0" applyFont="1" applyFill="1" applyBorder="1" applyAlignment="1" applyProtection="1">
      <alignment horizontal="center" vertical="center" shrinkToFit="1"/>
      <protection hidden="1"/>
    </xf>
    <xf numFmtId="0" fontId="9" fillId="3" borderId="19" xfId="0" applyFont="1" applyFill="1" applyBorder="1" applyAlignment="1" applyProtection="1">
      <alignment horizontal="center" vertical="center" shrinkToFit="1"/>
      <protection hidden="1"/>
    </xf>
    <xf numFmtId="0" fontId="9" fillId="3" borderId="5" xfId="0" applyFont="1" applyFill="1" applyBorder="1" applyAlignment="1" applyProtection="1">
      <alignment horizontal="center" vertical="center" shrinkToFit="1"/>
      <protection hidden="1"/>
    </xf>
    <xf numFmtId="0" fontId="10" fillId="3" borderId="20" xfId="0" applyFont="1" applyFill="1" applyBorder="1" applyAlignment="1" applyProtection="1">
      <alignment horizontal="right" vertical="center" shrinkToFit="1"/>
      <protection hidden="1"/>
    </xf>
    <xf numFmtId="0" fontId="10" fillId="3" borderId="11" xfId="0" applyFont="1" applyFill="1" applyBorder="1" applyAlignment="1" applyProtection="1">
      <alignment horizontal="right" vertical="center" shrinkToFit="1"/>
      <protection hidden="1"/>
    </xf>
    <xf numFmtId="0" fontId="10" fillId="3" borderId="21" xfId="0" applyFont="1" applyFill="1" applyBorder="1" applyAlignment="1" applyProtection="1">
      <alignment horizontal="right" vertical="center" shrinkToFit="1"/>
      <protection hidden="1"/>
    </xf>
    <xf numFmtId="165" fontId="1" fillId="0" borderId="11" xfId="0" applyNumberFormat="1" applyFont="1" applyBorder="1" applyAlignment="1" applyProtection="1">
      <alignment horizontal="right" vertical="center" shrinkToFit="1"/>
      <protection hidden="1"/>
    </xf>
    <xf numFmtId="0" fontId="1" fillId="0" borderId="8" xfId="0" applyFont="1" applyBorder="1" applyAlignment="1" applyProtection="1">
      <alignment horizontal="center" vertical="center" shrinkToFit="1"/>
      <protection hidden="1"/>
    </xf>
    <xf numFmtId="0" fontId="1" fillId="0" borderId="9" xfId="0" applyFont="1" applyBorder="1" applyAlignment="1" applyProtection="1">
      <alignment horizontal="center" vertical="center" shrinkToFit="1"/>
      <protection hidden="1"/>
    </xf>
    <xf numFmtId="0" fontId="1" fillId="0" borderId="10" xfId="0" applyFont="1" applyBorder="1" applyAlignment="1" applyProtection="1">
      <alignment horizontal="center" vertical="center" shrinkToFit="1"/>
      <protection hidden="1"/>
    </xf>
    <xf numFmtId="0" fontId="1" fillId="0" borderId="6" xfId="0" applyFont="1" applyBorder="1" applyAlignment="1" applyProtection="1">
      <alignment horizontal="center" vertical="center" shrinkToFit="1"/>
      <protection hidden="1"/>
    </xf>
    <xf numFmtId="0" fontId="1" fillId="0" borderId="0" xfId="0" applyFont="1" applyBorder="1" applyAlignment="1" applyProtection="1">
      <alignment horizontal="center" vertical="center" shrinkToFit="1"/>
      <protection hidden="1"/>
    </xf>
    <xf numFmtId="0" fontId="1" fillId="0" borderId="7" xfId="0" applyFont="1" applyBorder="1" applyAlignment="1" applyProtection="1">
      <alignment horizontal="center" vertical="center" shrinkToFit="1"/>
      <protection hidden="1"/>
    </xf>
    <xf numFmtId="165" fontId="1" fillId="0" borderId="6" xfId="0" applyNumberFormat="1" applyFont="1" applyBorder="1" applyAlignment="1" applyProtection="1">
      <alignment horizontal="center" vertical="center" shrinkToFit="1"/>
      <protection hidden="1"/>
    </xf>
    <xf numFmtId="165" fontId="1" fillId="0" borderId="0" xfId="0" applyNumberFormat="1" applyFont="1" applyBorder="1" applyAlignment="1" applyProtection="1">
      <alignment horizontal="center" vertical="center" shrinkToFit="1"/>
      <protection hidden="1"/>
    </xf>
    <xf numFmtId="165" fontId="1" fillId="0" borderId="7" xfId="0" applyNumberFormat="1" applyFont="1" applyBorder="1" applyAlignment="1" applyProtection="1">
      <alignment horizontal="center" vertical="center" shrinkToFit="1"/>
      <protection hidden="1"/>
    </xf>
    <xf numFmtId="165" fontId="1" fillId="0" borderId="15" xfId="0" applyNumberFormat="1" applyFont="1" applyBorder="1" applyAlignment="1" applyProtection="1">
      <alignment horizontal="center" vertical="center" shrinkToFit="1"/>
      <protection hidden="1"/>
    </xf>
    <xf numFmtId="165" fontId="1" fillId="0" borderId="16" xfId="0" applyNumberFormat="1" applyFont="1" applyBorder="1" applyAlignment="1" applyProtection="1">
      <alignment horizontal="center" vertical="center" shrinkToFit="1"/>
      <protection hidden="1"/>
    </xf>
    <xf numFmtId="165" fontId="1" fillId="0" borderId="17" xfId="0" applyNumberFormat="1" applyFont="1" applyBorder="1" applyAlignment="1" applyProtection="1">
      <alignment horizontal="center" vertical="center" shrinkToFit="1"/>
      <protection hidden="1"/>
    </xf>
    <xf numFmtId="165" fontId="1" fillId="0" borderId="13" xfId="0" applyNumberFormat="1" applyFont="1" applyBorder="1" applyAlignment="1" applyProtection="1">
      <alignment horizontal="right" vertical="center" shrinkToFit="1"/>
      <protection hidden="1"/>
    </xf>
    <xf numFmtId="0" fontId="1" fillId="0" borderId="13" xfId="0" applyFont="1" applyBorder="1" applyAlignment="1" applyProtection="1">
      <alignment horizontal="center" vertical="center" shrinkToFit="1"/>
      <protection hidden="1"/>
    </xf>
    <xf numFmtId="0" fontId="1" fillId="0" borderId="11" xfId="0" applyFont="1" applyBorder="1" applyAlignment="1" applyProtection="1">
      <alignment horizontal="center" vertical="center" shrinkToFit="1"/>
      <protection hidden="1"/>
    </xf>
    <xf numFmtId="179" fontId="1" fillId="0" borderId="5" xfId="0" applyNumberFormat="1" applyFont="1" applyBorder="1" applyAlignment="1" applyProtection="1">
      <alignment horizontal="center" vertical="center" shrinkToFit="1"/>
      <protection hidden="1"/>
    </xf>
    <xf numFmtId="165" fontId="1" fillId="0" borderId="5" xfId="0" applyNumberFormat="1" applyFont="1" applyBorder="1" applyAlignment="1" applyProtection="1">
      <alignment horizontal="right" vertical="center" shrinkToFit="1"/>
      <protection hidden="1"/>
    </xf>
    <xf numFmtId="0" fontId="1" fillId="0" borderId="5" xfId="0" applyFont="1" applyBorder="1" applyAlignment="1" applyProtection="1">
      <alignment horizontal="right" vertical="center" shrinkToFit="1"/>
      <protection hidden="1"/>
    </xf>
    <xf numFmtId="2" fontId="1" fillId="0" borderId="13" xfId="0" applyNumberFormat="1" applyFont="1" applyBorder="1" applyAlignment="1" applyProtection="1">
      <alignment horizontal="right" vertical="center" shrinkToFit="1"/>
      <protection hidden="1"/>
    </xf>
    <xf numFmtId="164" fontId="1" fillId="0" borderId="6" xfId="0" applyNumberFormat="1" applyFont="1" applyBorder="1" applyAlignment="1" applyProtection="1">
      <alignment horizontal="center" vertical="center" shrinkToFit="1"/>
      <protection hidden="1"/>
    </xf>
    <xf numFmtId="164" fontId="1" fillId="0" borderId="0" xfId="0" applyNumberFormat="1" applyFont="1" applyBorder="1" applyAlignment="1" applyProtection="1">
      <alignment horizontal="center" vertical="center" shrinkToFit="1"/>
      <protection hidden="1"/>
    </xf>
    <xf numFmtId="164" fontId="1" fillId="0" borderId="15" xfId="0" applyNumberFormat="1" applyFont="1" applyBorder="1" applyAlignment="1" applyProtection="1">
      <alignment horizontal="center" vertical="center" shrinkToFit="1"/>
      <protection hidden="1"/>
    </xf>
    <xf numFmtId="164" fontId="1" fillId="0" borderId="16" xfId="0" applyNumberFormat="1" applyFont="1" applyBorder="1" applyAlignment="1" applyProtection="1">
      <alignment horizontal="center" vertical="center" shrinkToFit="1"/>
      <protection hidden="1"/>
    </xf>
    <xf numFmtId="0" fontId="2" fillId="3" borderId="8" xfId="0" applyFont="1" applyFill="1" applyBorder="1" applyAlignment="1" applyProtection="1">
      <alignment horizontal="center" vertical="center" shrinkToFit="1"/>
      <protection hidden="1"/>
    </xf>
    <xf numFmtId="0" fontId="2" fillId="3" borderId="9" xfId="0" applyFont="1" applyFill="1" applyBorder="1" applyAlignment="1" applyProtection="1">
      <alignment horizontal="center" vertical="center" shrinkToFit="1"/>
      <protection hidden="1"/>
    </xf>
    <xf numFmtId="0" fontId="2" fillId="3" borderId="10" xfId="0" applyFont="1" applyFill="1" applyBorder="1" applyAlignment="1" applyProtection="1">
      <alignment horizontal="center" vertical="center" shrinkToFit="1"/>
      <protection hidden="1"/>
    </xf>
    <xf numFmtId="0" fontId="2" fillId="3" borderId="15" xfId="0" applyFont="1" applyFill="1" applyBorder="1" applyAlignment="1" applyProtection="1">
      <alignment horizontal="center" vertical="center" shrinkToFit="1"/>
      <protection hidden="1"/>
    </xf>
    <xf numFmtId="0" fontId="2" fillId="3" borderId="16" xfId="0" applyFont="1" applyFill="1" applyBorder="1" applyAlignment="1" applyProtection="1">
      <alignment horizontal="center" vertical="center" shrinkToFit="1"/>
      <protection hidden="1"/>
    </xf>
    <xf numFmtId="0" fontId="2" fillId="3" borderId="17" xfId="0" applyFont="1" applyFill="1" applyBorder="1" applyAlignment="1" applyProtection="1">
      <alignment horizontal="center" vertical="center" shrinkToFit="1"/>
      <protection hidden="1"/>
    </xf>
    <xf numFmtId="166" fontId="2" fillId="3" borderId="8" xfId="0" applyNumberFormat="1" applyFont="1" applyFill="1" applyBorder="1" applyAlignment="1" applyProtection="1">
      <alignment horizontal="center" vertical="center" shrinkToFit="1"/>
      <protection hidden="1"/>
    </xf>
    <xf numFmtId="166" fontId="2" fillId="3" borderId="9" xfId="0" applyNumberFormat="1" applyFont="1" applyFill="1" applyBorder="1" applyAlignment="1" applyProtection="1">
      <alignment horizontal="center" vertical="center" shrinkToFit="1"/>
      <protection hidden="1"/>
    </xf>
    <xf numFmtId="166" fontId="2" fillId="3" borderId="10" xfId="0" applyNumberFormat="1" applyFont="1" applyFill="1" applyBorder="1" applyAlignment="1" applyProtection="1">
      <alignment horizontal="center" vertical="center" shrinkToFit="1"/>
      <protection hidden="1"/>
    </xf>
    <xf numFmtId="166" fontId="2" fillId="3" borderId="15" xfId="0" applyNumberFormat="1" applyFont="1" applyFill="1" applyBorder="1" applyAlignment="1" applyProtection="1">
      <alignment horizontal="center" vertical="center" shrinkToFit="1"/>
      <protection hidden="1"/>
    </xf>
    <xf numFmtId="166" fontId="2" fillId="3" borderId="16" xfId="0" applyNumberFormat="1" applyFont="1" applyFill="1" applyBorder="1" applyAlignment="1" applyProtection="1">
      <alignment horizontal="center" vertical="center" shrinkToFit="1"/>
      <protection hidden="1"/>
    </xf>
    <xf numFmtId="166" fontId="2" fillId="3" borderId="17" xfId="0" applyNumberFormat="1" applyFont="1" applyFill="1" applyBorder="1" applyAlignment="1" applyProtection="1">
      <alignment horizontal="center" vertical="center" shrinkToFit="1"/>
      <protection hidden="1"/>
    </xf>
    <xf numFmtId="165" fontId="1" fillId="0" borderId="0" xfId="0" applyNumberFormat="1" applyFont="1" applyBorder="1" applyAlignment="1" applyProtection="1">
      <alignment vertical="center" shrinkToFit="1"/>
      <protection hidden="1"/>
    </xf>
    <xf numFmtId="165" fontId="1" fillId="0" borderId="16" xfId="0" applyNumberFormat="1" applyFont="1" applyBorder="1" applyAlignment="1" applyProtection="1">
      <alignment vertical="center" shrinkToFit="1"/>
      <protection hidden="1"/>
    </xf>
    <xf numFmtId="165" fontId="1" fillId="0" borderId="17" xfId="0" applyNumberFormat="1" applyFont="1" applyBorder="1" applyAlignment="1" applyProtection="1">
      <alignment vertical="center" shrinkToFit="1"/>
      <protection hidden="1"/>
    </xf>
    <xf numFmtId="0" fontId="9" fillId="3" borderId="12" xfId="0" applyFont="1" applyFill="1" applyBorder="1" applyAlignment="1" applyProtection="1">
      <alignment horizontal="right" vertical="center" shrinkToFit="1"/>
      <protection hidden="1"/>
    </xf>
    <xf numFmtId="0" fontId="9" fillId="3" borderId="13" xfId="0" applyFont="1" applyFill="1" applyBorder="1" applyAlignment="1" applyProtection="1">
      <alignment horizontal="right" vertical="center" shrinkToFit="1"/>
      <protection hidden="1"/>
    </xf>
    <xf numFmtId="0" fontId="9" fillId="3" borderId="14" xfId="0" applyFont="1" applyFill="1" applyBorder="1" applyAlignment="1" applyProtection="1">
      <alignment horizontal="right" vertical="center" shrinkToFit="1"/>
      <protection hidden="1"/>
    </xf>
    <xf numFmtId="0" fontId="9" fillId="3" borderId="11" xfId="0" applyFont="1" applyFill="1" applyBorder="1" applyAlignment="1" applyProtection="1">
      <alignment horizontal="right" vertical="center" shrinkToFit="1"/>
      <protection hidden="1"/>
    </xf>
    <xf numFmtId="173" fontId="10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10" fillId="0" borderId="13" xfId="0" applyFont="1" applyFill="1" applyBorder="1" applyAlignment="1" applyProtection="1">
      <alignment horizontal="center" vertical="center" shrinkToFit="1"/>
      <protection hidden="1"/>
    </xf>
    <xf numFmtId="0" fontId="10" fillId="0" borderId="2" xfId="0" applyFont="1" applyFill="1" applyBorder="1" applyAlignment="1" applyProtection="1">
      <alignment horizontal="center" vertical="center" shrinkToFit="1"/>
      <protection hidden="1"/>
    </xf>
    <xf numFmtId="177" fontId="15" fillId="0" borderId="14" xfId="0" applyNumberFormat="1" applyFont="1" applyBorder="1" applyAlignment="1" applyProtection="1">
      <alignment horizontal="right" vertical="center" shrinkToFit="1"/>
      <protection hidden="1"/>
    </xf>
    <xf numFmtId="177" fontId="15" fillId="0" borderId="11" xfId="0" applyNumberFormat="1" applyFont="1" applyBorder="1" applyAlignment="1" applyProtection="1">
      <alignment horizontal="right" vertical="center" shrinkToFit="1"/>
      <protection hidden="1"/>
    </xf>
    <xf numFmtId="167" fontId="15" fillId="0" borderId="11" xfId="0" applyNumberFormat="1" applyFont="1" applyBorder="1" applyAlignment="1" applyProtection="1">
      <alignment horizontal="left" vertical="center" shrinkToFit="1"/>
      <protection hidden="1"/>
    </xf>
    <xf numFmtId="167" fontId="15" fillId="0" borderId="3" xfId="0" applyNumberFormat="1" applyFont="1" applyBorder="1" applyAlignment="1" applyProtection="1">
      <alignment horizontal="left" vertical="center" shrinkToFit="1"/>
      <protection hidden="1"/>
    </xf>
    <xf numFmtId="170" fontId="11" fillId="4" borderId="11" xfId="0" applyNumberFormat="1" applyFont="1" applyFill="1" applyBorder="1" applyAlignment="1" applyProtection="1">
      <alignment horizontal="center" vertical="center" shrinkToFit="1"/>
      <protection locked="0"/>
    </xf>
    <xf numFmtId="171" fontId="11" fillId="4" borderId="11" xfId="0" applyNumberFormat="1" applyFont="1" applyFill="1" applyBorder="1" applyAlignment="1" applyProtection="1">
      <alignment horizontal="center" vertical="center" shrinkToFit="1"/>
      <protection locked="0"/>
    </xf>
    <xf numFmtId="171" fontId="11" fillId="4" borderId="21" xfId="0" applyNumberFormat="1" applyFont="1" applyFill="1" applyBorder="1" applyAlignment="1" applyProtection="1">
      <alignment horizontal="center" vertical="center" shrinkToFit="1"/>
      <protection locked="0"/>
    </xf>
    <xf numFmtId="0" fontId="10" fillId="3" borderId="8" xfId="0" applyFont="1" applyFill="1" applyBorder="1" applyAlignment="1" applyProtection="1">
      <alignment horizontal="right" vertical="center" shrinkToFit="1"/>
      <protection hidden="1"/>
    </xf>
    <xf numFmtId="0" fontId="10" fillId="3" borderId="9" xfId="0" applyFont="1" applyFill="1" applyBorder="1" applyAlignment="1" applyProtection="1">
      <alignment horizontal="right" vertical="center" shrinkToFit="1"/>
      <protection hidden="1"/>
    </xf>
    <xf numFmtId="0" fontId="10" fillId="3" borderId="10" xfId="0" applyFont="1" applyFill="1" applyBorder="1" applyAlignment="1" applyProtection="1">
      <alignment horizontal="right" vertical="center" shrinkToFit="1"/>
      <protection hidden="1"/>
    </xf>
    <xf numFmtId="0" fontId="10" fillId="3" borderId="15" xfId="0" applyFont="1" applyFill="1" applyBorder="1" applyAlignment="1" applyProtection="1">
      <alignment horizontal="right" vertical="center" shrinkToFit="1"/>
      <protection hidden="1"/>
    </xf>
    <xf numFmtId="0" fontId="10" fillId="3" borderId="16" xfId="0" applyFont="1" applyFill="1" applyBorder="1" applyAlignment="1" applyProtection="1">
      <alignment horizontal="right" vertical="center" shrinkToFit="1"/>
      <protection hidden="1"/>
    </xf>
    <xf numFmtId="0" fontId="10" fillId="3" borderId="17" xfId="0" applyFont="1" applyFill="1" applyBorder="1" applyAlignment="1" applyProtection="1">
      <alignment horizontal="right" vertical="center" shrinkToFit="1"/>
      <protection hidden="1"/>
    </xf>
    <xf numFmtId="0" fontId="10" fillId="3" borderId="6" xfId="0" applyFont="1" applyFill="1" applyBorder="1" applyAlignment="1" applyProtection="1">
      <alignment horizontal="right" vertical="center" shrinkToFit="1"/>
      <protection hidden="1"/>
    </xf>
    <xf numFmtId="0" fontId="10" fillId="3" borderId="0" xfId="0" applyFont="1" applyFill="1" applyBorder="1" applyAlignment="1" applyProtection="1">
      <alignment horizontal="right" vertical="center" shrinkToFit="1"/>
      <protection hidden="1"/>
    </xf>
    <xf numFmtId="0" fontId="10" fillId="3" borderId="7" xfId="0" applyFont="1" applyFill="1" applyBorder="1" applyAlignment="1" applyProtection="1">
      <alignment horizontal="right" vertical="center" shrinkToFit="1"/>
      <protection hidden="1"/>
    </xf>
    <xf numFmtId="169" fontId="11" fillId="4" borderId="11" xfId="0" applyNumberFormat="1" applyFont="1" applyFill="1" applyBorder="1" applyAlignment="1" applyProtection="1">
      <alignment horizontal="center" vertical="center" shrinkToFit="1"/>
      <protection locked="0"/>
    </xf>
    <xf numFmtId="168" fontId="11" fillId="4" borderId="11" xfId="0" applyNumberFormat="1" applyFont="1" applyFill="1" applyBorder="1" applyAlignment="1" applyProtection="1">
      <alignment horizontal="center" vertical="center" shrinkToFit="1"/>
      <protection locked="0"/>
    </xf>
    <xf numFmtId="168" fontId="11" fillId="4" borderId="21" xfId="0" applyNumberFormat="1" applyFont="1" applyFill="1" applyBorder="1" applyAlignment="1" applyProtection="1">
      <alignment horizontal="center" vertical="center" shrinkToFit="1"/>
      <protection locked="0"/>
    </xf>
    <xf numFmtId="173" fontId="12" fillId="4" borderId="16" xfId="0" applyNumberFormat="1" applyFont="1" applyFill="1" applyBorder="1" applyAlignment="1" applyProtection="1">
      <alignment horizontal="right" vertical="center" shrinkToFit="1"/>
      <protection locked="0"/>
    </xf>
    <xf numFmtId="174" fontId="12" fillId="4" borderId="9" xfId="0" applyNumberFormat="1" applyFont="1" applyFill="1" applyBorder="1" applyAlignment="1" applyProtection="1">
      <alignment horizontal="left" vertical="center" shrinkToFit="1"/>
      <protection locked="0"/>
    </xf>
    <xf numFmtId="174" fontId="12" fillId="4" borderId="16" xfId="0" applyNumberFormat="1" applyFont="1" applyFill="1" applyBorder="1" applyAlignment="1" applyProtection="1">
      <alignment horizontal="left" vertical="center" shrinkToFit="1"/>
      <protection locked="0"/>
    </xf>
    <xf numFmtId="0" fontId="12" fillId="4" borderId="9" xfId="0" applyFont="1" applyFill="1" applyBorder="1" applyAlignment="1" applyProtection="1">
      <alignment horizontal="left" vertical="center" shrinkToFit="1"/>
      <protection locked="0"/>
    </xf>
    <xf numFmtId="0" fontId="12" fillId="4" borderId="10" xfId="0" applyFont="1" applyFill="1" applyBorder="1" applyAlignment="1" applyProtection="1">
      <alignment horizontal="left" vertical="center" shrinkToFit="1"/>
      <protection locked="0"/>
    </xf>
    <xf numFmtId="0" fontId="12" fillId="4" borderId="16" xfId="0" applyFont="1" applyFill="1" applyBorder="1" applyAlignment="1" applyProtection="1">
      <alignment horizontal="left" vertical="center" shrinkToFit="1"/>
      <protection locked="0"/>
    </xf>
    <xf numFmtId="0" fontId="12" fillId="4" borderId="17" xfId="0" applyFont="1" applyFill="1" applyBorder="1" applyAlignment="1" applyProtection="1">
      <alignment horizontal="left" vertical="center" shrinkToFit="1"/>
      <protection locked="0"/>
    </xf>
    <xf numFmtId="172" fontId="12" fillId="4" borderId="9" xfId="0" applyNumberFormat="1" applyFont="1" applyFill="1" applyBorder="1" applyAlignment="1" applyProtection="1">
      <alignment horizontal="right" vertical="center" shrinkToFit="1"/>
      <protection locked="0"/>
    </xf>
    <xf numFmtId="172" fontId="12" fillId="4" borderId="16" xfId="0" applyNumberFormat="1" applyFont="1" applyFill="1" applyBorder="1" applyAlignment="1" applyProtection="1">
      <alignment horizontal="right" vertical="center" shrinkToFit="1"/>
      <protection locked="0"/>
    </xf>
    <xf numFmtId="0" fontId="13" fillId="3" borderId="18" xfId="0" applyFont="1" applyFill="1" applyBorder="1" applyAlignment="1" applyProtection="1">
      <alignment horizontal="center" vertical="center" shrinkToFit="1"/>
      <protection hidden="1"/>
    </xf>
    <xf numFmtId="0" fontId="13" fillId="3" borderId="22" xfId="0" applyFont="1" applyFill="1" applyBorder="1" applyAlignment="1" applyProtection="1">
      <alignment horizontal="center" vertical="center" shrinkToFit="1"/>
      <protection hidden="1"/>
    </xf>
    <xf numFmtId="176" fontId="10" fillId="0" borderId="18" xfId="0" applyNumberFormat="1" applyFont="1" applyFill="1" applyBorder="1" applyAlignment="1" applyProtection="1">
      <alignment horizontal="center" vertical="center" shrinkToFit="1"/>
      <protection hidden="1"/>
    </xf>
    <xf numFmtId="176" fontId="10" fillId="4" borderId="18" xfId="0" applyNumberFormat="1" applyFont="1" applyFill="1" applyBorder="1" applyAlignment="1" applyProtection="1">
      <alignment horizontal="center" vertical="center" shrinkToFit="1"/>
      <protection locked="0"/>
    </xf>
    <xf numFmtId="173" fontId="10" fillId="4" borderId="18" xfId="0" applyNumberFormat="1" applyFont="1" applyFill="1" applyBorder="1" applyAlignment="1" applyProtection="1">
      <alignment horizontal="center" vertical="center" shrinkToFit="1"/>
      <protection locked="0"/>
    </xf>
  </cellXfs>
  <cellStyles count="1">
    <cellStyle name="Обычный" xfId="0" builtinId="0"/>
  </cellStyles>
  <dxfs count="6"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2485FF"/>
      <rgbColor rgb="003EDB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0.10150891632373113"/>
          <c:y val="3.2327586206896554E-2"/>
          <c:w val="0.86282578875171467"/>
          <c:h val="0.77586206896551724"/>
        </c:manualLayout>
      </c:layout>
      <c:bubbleChart>
        <c:ser>
          <c:idx val="0"/>
          <c:order val="0"/>
          <c:tx>
            <c:strRef>
              <c:f>'TABLE (observations)'!$AL$8</c:f>
              <c:strCache>
                <c:ptCount val="1"/>
                <c:pt idx="0">
                  <c:v>Moon</c:v>
                </c:pt>
              </c:strCache>
            </c:strRef>
          </c:tx>
          <c:spPr>
            <a:gradFill rotWithShape="0">
              <a:gsLst>
                <a:gs pos="0">
                  <a:srgbClr val="CCFFFF"/>
                </a:gs>
                <a:gs pos="100000">
                  <a:srgbClr val="CCFFFF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(observations)'!$AM$8</c:f>
              <c:numCache>
                <c:formatCode>General</c:formatCode>
                <c:ptCount val="1"/>
                <c:pt idx="0">
                  <c:v>334.46341744496095</c:v>
                </c:pt>
              </c:numCache>
            </c:numRef>
          </c:xVal>
          <c:yVal>
            <c:numRef>
              <c:f>'TABLE (observations)'!$AN$8</c:f>
              <c:numCache>
                <c:formatCode>General</c:formatCode>
                <c:ptCount val="1"/>
                <c:pt idx="0">
                  <c:v>-75.410741517921409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10</c:v>
              </c:pt>
            </c:numLit>
          </c:bubbleSize>
          <c:bubble3D val="1"/>
        </c:ser>
        <c:ser>
          <c:idx val="1"/>
          <c:order val="1"/>
          <c:tx>
            <c:strRef>
              <c:f>'TABLE (observations)'!$AL$7</c:f>
              <c:strCache>
                <c:ptCount val="1"/>
                <c:pt idx="0">
                  <c:v>Sun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xVal>
            <c:numRef>
              <c:f>'TABLE (observations)'!$AM$7</c:f>
              <c:numCache>
                <c:formatCode>General</c:formatCode>
                <c:ptCount val="1"/>
                <c:pt idx="0">
                  <c:v>297.22626517706385</c:v>
                </c:pt>
              </c:numCache>
            </c:numRef>
          </c:xVal>
          <c:yVal>
            <c:numRef>
              <c:f>'TABLE (observations)'!$AN$7</c:f>
              <c:numCache>
                <c:formatCode>General</c:formatCode>
                <c:ptCount val="1"/>
                <c:pt idx="0">
                  <c:v>-17.195374740957366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20</c:v>
              </c:pt>
            </c:numLit>
          </c:bubbleSize>
          <c:bubble3D val="1"/>
        </c:ser>
        <c:ser>
          <c:idx val="2"/>
          <c:order val="2"/>
          <c:tx>
            <c:strRef>
              <c:f>'TABLE (observations)'!$AL$9</c:f>
              <c:strCache>
                <c:ptCount val="1"/>
                <c:pt idx="0">
                  <c:v>Acamar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(observations)'!$AM$9</c:f>
              <c:numCache>
                <c:formatCode>General</c:formatCode>
                <c:ptCount val="1"/>
                <c:pt idx="0">
                  <c:v>234.64623521124753</c:v>
                </c:pt>
              </c:numCache>
            </c:numRef>
          </c:xVal>
          <c:yVal>
            <c:numRef>
              <c:f>'TABLE (observations)'!$AN$9</c:f>
              <c:numCache>
                <c:formatCode>General</c:formatCode>
                <c:ptCount val="1"/>
                <c:pt idx="0">
                  <c:v>-35.511448429352043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"/>
          <c:order val="3"/>
          <c:tx>
            <c:strRef>
              <c:f>'TABLE (observations)'!$AL$10</c:f>
              <c:strCache>
                <c:ptCount val="1"/>
                <c:pt idx="0">
                  <c:v>Achernar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(observations)'!$AM$10</c:f>
              <c:numCache>
                <c:formatCode>General</c:formatCode>
                <c:ptCount val="1"/>
                <c:pt idx="0">
                  <c:v>208.74195876059994</c:v>
                </c:pt>
              </c:numCache>
            </c:numRef>
          </c:xVal>
          <c:yVal>
            <c:numRef>
              <c:f>'TABLE (observations)'!$AN$10</c:f>
              <c:numCache>
                <c:formatCode>General</c:formatCode>
                <c:ptCount val="1"/>
                <c:pt idx="0">
                  <c:v>-43.164202617740102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"/>
          <c:order val="4"/>
          <c:tx>
            <c:strRef>
              <c:f>'TABLE (observations)'!$AL$11</c:f>
              <c:strCache>
                <c:ptCount val="1"/>
                <c:pt idx="0">
                  <c:v>Acrux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(observations)'!$AM$11</c:f>
              <c:numCache>
                <c:formatCode>General</c:formatCode>
                <c:ptCount val="1"/>
                <c:pt idx="0">
                  <c:v>170.05179613996901</c:v>
                </c:pt>
              </c:numCache>
            </c:numRef>
          </c:xVal>
          <c:yVal>
            <c:numRef>
              <c:f>'TABLE (observations)'!$AN$11</c:f>
              <c:numCache>
                <c:formatCode>General</c:formatCode>
                <c:ptCount val="1"/>
                <c:pt idx="0">
                  <c:v>4.259747141089405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"/>
          <c:order val="5"/>
          <c:tx>
            <c:strRef>
              <c:f>'TABLE (observations)'!$AL$12</c:f>
              <c:strCache>
                <c:ptCount val="1"/>
                <c:pt idx="0">
                  <c:v>Adhara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(observations)'!$AM$12</c:f>
              <c:numCache>
                <c:formatCode>General</c:formatCode>
                <c:ptCount val="1"/>
                <c:pt idx="0">
                  <c:v>230.98509094573822</c:v>
                </c:pt>
              </c:numCache>
            </c:numRef>
          </c:xVal>
          <c:yVal>
            <c:numRef>
              <c:f>'TABLE (observations)'!$AN$12</c:f>
              <c:numCache>
                <c:formatCode>General</c:formatCode>
                <c:ptCount val="1"/>
                <c:pt idx="0">
                  <c:v>14.12193869089973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6"/>
          <c:order val="6"/>
          <c:tx>
            <c:strRef>
              <c:f>'TABLE (observations)'!$AL$13</c:f>
              <c:strCache>
                <c:ptCount val="1"/>
                <c:pt idx="0">
                  <c:v>Aldebaran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(observations)'!$AM$13</c:f>
              <c:numCache>
                <c:formatCode>General</c:formatCode>
                <c:ptCount val="1"/>
                <c:pt idx="0">
                  <c:v>287.27184785399481</c:v>
                </c:pt>
              </c:numCache>
            </c:numRef>
          </c:xVal>
          <c:yVal>
            <c:numRef>
              <c:f>'TABLE (observations)'!$AN$13</c:f>
              <c:numCache>
                <c:formatCode>General</c:formatCode>
                <c:ptCount val="1"/>
                <c:pt idx="0">
                  <c:v>1.1500583936706792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7"/>
          <c:order val="7"/>
          <c:tx>
            <c:strRef>
              <c:f>'TABLE (observations)'!$AL$14</c:f>
              <c:strCache>
                <c:ptCount val="1"/>
                <c:pt idx="0">
                  <c:v>Alioth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(observations)'!$AM$14</c:f>
              <c:numCache>
                <c:formatCode>General</c:formatCode>
                <c:ptCount val="1"/>
                <c:pt idx="0">
                  <c:v>24.615522973171355</c:v>
                </c:pt>
              </c:numCache>
            </c:numRef>
          </c:xVal>
          <c:yVal>
            <c:numRef>
              <c:f>'TABLE (observations)'!$AN$14</c:f>
              <c:numCache>
                <c:formatCode>General</c:formatCode>
                <c:ptCount val="1"/>
                <c:pt idx="0">
                  <c:v>48.594349755483456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8"/>
          <c:order val="8"/>
          <c:tx>
            <c:strRef>
              <c:f>'TABLE (observations)'!$AL$15</c:f>
              <c:strCache>
                <c:ptCount val="1"/>
                <c:pt idx="0">
                  <c:v>Alkaid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(observations)'!$AM$15</c:f>
              <c:numCache>
                <c:formatCode>General</c:formatCode>
                <c:ptCount val="1"/>
                <c:pt idx="0">
                  <c:v>39.460704501768241</c:v>
                </c:pt>
              </c:numCache>
            </c:numRef>
          </c:xVal>
          <c:yVal>
            <c:numRef>
              <c:f>'TABLE (observations)'!$AN$15</c:f>
              <c:numCache>
                <c:formatCode>General</c:formatCode>
                <c:ptCount val="1"/>
                <c:pt idx="0">
                  <c:v>45.745646473056553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9"/>
          <c:order val="9"/>
          <c:tx>
            <c:strRef>
              <c:f>'TABLE (observations)'!$AL$16</c:f>
              <c:strCache>
                <c:ptCount val="1"/>
                <c:pt idx="0">
                  <c:v>Al Na'ir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(observations)'!$AM$16</c:f>
              <c:numCache>
                <c:formatCode>General</c:formatCode>
                <c:ptCount val="1"/>
                <c:pt idx="0">
                  <c:v>162.15522914707648</c:v>
                </c:pt>
              </c:numCache>
            </c:numRef>
          </c:xVal>
          <c:yVal>
            <c:numRef>
              <c:f>'TABLE (observations)'!$AN$16</c:f>
              <c:numCache>
                <c:formatCode>General</c:formatCode>
                <c:ptCount val="1"/>
                <c:pt idx="0">
                  <c:v>-62.030647095356969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0"/>
          <c:order val="10"/>
          <c:tx>
            <c:strRef>
              <c:f>'TABLE (observations)'!$AL$17</c:f>
              <c:strCache>
                <c:ptCount val="1"/>
                <c:pt idx="0">
                  <c:v>Alnilam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(observations)'!$AM$17</c:f>
              <c:numCache>
                <c:formatCode>General</c:formatCode>
                <c:ptCount val="1"/>
                <c:pt idx="0">
                  <c:v>265.34584265467203</c:v>
                </c:pt>
              </c:numCache>
            </c:numRef>
          </c:xVal>
          <c:yVal>
            <c:numRef>
              <c:f>'TABLE (observations)'!$AN$17</c:f>
              <c:numCache>
                <c:formatCode>General</c:formatCode>
                <c:ptCount val="1"/>
                <c:pt idx="0">
                  <c:v>8.8388898814551844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1"/>
          <c:order val="11"/>
          <c:tx>
            <c:strRef>
              <c:f>'TABLE (observations)'!$AL$18</c:f>
              <c:strCache>
                <c:ptCount val="1"/>
                <c:pt idx="0">
                  <c:v>Alphard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(observations)'!$AM$18</c:f>
              <c:numCache>
                <c:formatCode>General</c:formatCode>
                <c:ptCount val="1"/>
                <c:pt idx="0">
                  <c:v>218.78889749653939</c:v>
                </c:pt>
              </c:numCache>
            </c:numRef>
          </c:xVal>
          <c:yVal>
            <c:numRef>
              <c:f>'TABLE (observations)'!$AN$18</c:f>
              <c:numCache>
                <c:formatCode>General</c:formatCode>
                <c:ptCount val="1"/>
                <c:pt idx="0">
                  <c:v>53.322978258588009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2"/>
          <c:order val="12"/>
          <c:tx>
            <c:strRef>
              <c:f>'TABLE (observations)'!$AL$19</c:f>
              <c:strCache>
                <c:ptCount val="1"/>
                <c:pt idx="0">
                  <c:v>Alphecca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(observations)'!$AM$19</c:f>
              <c:numCache>
                <c:formatCode>General</c:formatCode>
                <c:ptCount val="1"/>
                <c:pt idx="0">
                  <c:v>69.736364263921161</c:v>
                </c:pt>
              </c:numCache>
            </c:numRef>
          </c:xVal>
          <c:yVal>
            <c:numRef>
              <c:f>'TABLE (observations)'!$AN$19</c:f>
              <c:numCache>
                <c:formatCode>General</c:formatCode>
                <c:ptCount val="1"/>
                <c:pt idx="0">
                  <c:v>26.803130707679234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3"/>
          <c:order val="13"/>
          <c:tx>
            <c:strRef>
              <c:f>'TABLE (observations)'!$AL$20</c:f>
              <c:strCache>
                <c:ptCount val="1"/>
                <c:pt idx="0">
                  <c:v>Alpheratz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(observations)'!$AM$20</c:f>
              <c:numCache>
                <c:formatCode>General</c:formatCode>
                <c:ptCount val="1"/>
                <c:pt idx="0">
                  <c:v>340.26624137526773</c:v>
                </c:pt>
              </c:numCache>
            </c:numRef>
          </c:xVal>
          <c:yVal>
            <c:numRef>
              <c:f>'TABLE (observations)'!$AN$20</c:f>
              <c:numCache>
                <c:formatCode>General</c:formatCode>
                <c:ptCount val="1"/>
                <c:pt idx="0">
                  <c:v>-37.185233115521768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4"/>
          <c:order val="14"/>
          <c:tx>
            <c:strRef>
              <c:f>'TABLE (observations)'!$AL$21</c:f>
              <c:strCache>
                <c:ptCount val="1"/>
                <c:pt idx="0">
                  <c:v>Altair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(observations)'!$AM$21</c:f>
              <c:numCache>
                <c:formatCode>General</c:formatCode>
                <c:ptCount val="1"/>
                <c:pt idx="0">
                  <c:v>61.695331701879184</c:v>
                </c:pt>
              </c:numCache>
            </c:numRef>
          </c:xVal>
          <c:yVal>
            <c:numRef>
              <c:f>'TABLE (observations)'!$AN$21</c:f>
              <c:numCache>
                <c:formatCode>General</c:formatCode>
                <c:ptCount val="1"/>
                <c:pt idx="0">
                  <c:v>-35.584159563066905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5"/>
          <c:order val="15"/>
          <c:tx>
            <c:strRef>
              <c:f>'TABLE (observations)'!$AL$22</c:f>
              <c:strCache>
                <c:ptCount val="1"/>
                <c:pt idx="0">
                  <c:v>Ankaa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(observations)'!$AM$22</c:f>
              <c:numCache>
                <c:formatCode>General</c:formatCode>
                <c:ptCount val="1"/>
                <c:pt idx="0">
                  <c:v>216.17783731236329</c:v>
                </c:pt>
              </c:numCache>
            </c:numRef>
          </c:xVal>
          <c:yVal>
            <c:numRef>
              <c:f>'TABLE (observations)'!$AN$22</c:f>
              <c:numCache>
                <c:formatCode>General</c:formatCode>
                <c:ptCount val="1"/>
                <c:pt idx="0">
                  <c:v>-61.401547205581863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6"/>
          <c:order val="16"/>
          <c:tx>
            <c:strRef>
              <c:f>'TABLE (observations)'!$AL$23</c:f>
              <c:strCache>
                <c:ptCount val="1"/>
                <c:pt idx="0">
                  <c:v>Antares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(observations)'!$AM$23</c:f>
              <c:numCache>
                <c:formatCode>General</c:formatCode>
                <c:ptCount val="1"/>
                <c:pt idx="0">
                  <c:v>117.08121681000128</c:v>
                </c:pt>
              </c:numCache>
            </c:numRef>
          </c:xVal>
          <c:yVal>
            <c:numRef>
              <c:f>'TABLE (observations)'!$AN$23</c:f>
              <c:numCache>
                <c:formatCode>General</c:formatCode>
                <c:ptCount val="1"/>
                <c:pt idx="0">
                  <c:v>-3.3370007857797535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7"/>
          <c:order val="17"/>
          <c:tx>
            <c:strRef>
              <c:f>'TABLE (observations)'!$AL$24</c:f>
              <c:strCache>
                <c:ptCount val="1"/>
                <c:pt idx="0">
                  <c:v>Arcturus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(observations)'!$AM$24</c:f>
              <c:numCache>
                <c:formatCode>General</c:formatCode>
                <c:ptCount val="1"/>
                <c:pt idx="0">
                  <c:v>82.862021675413303</c:v>
                </c:pt>
              </c:numCache>
            </c:numRef>
          </c:xVal>
          <c:yVal>
            <c:numRef>
              <c:f>'TABLE (observations)'!$AN$24</c:f>
              <c:numCache>
                <c:formatCode>General</c:formatCode>
                <c:ptCount val="1"/>
                <c:pt idx="0">
                  <c:v>43.352193348132658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8"/>
          <c:order val="18"/>
          <c:tx>
            <c:strRef>
              <c:f>'TABLE (observations)'!$AL$25</c:f>
              <c:strCache>
                <c:ptCount val="1"/>
                <c:pt idx="0">
                  <c:v>Atria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(observations)'!$AM$25</c:f>
              <c:numCache>
                <c:formatCode>General</c:formatCode>
                <c:ptCount val="1"/>
                <c:pt idx="0">
                  <c:v>157.86456420455968</c:v>
                </c:pt>
              </c:numCache>
            </c:numRef>
          </c:xVal>
          <c:yVal>
            <c:numRef>
              <c:f>'TABLE (observations)'!$AN$25</c:f>
              <c:numCache>
                <c:formatCode>General</c:formatCode>
                <c:ptCount val="1"/>
                <c:pt idx="0">
                  <c:v>-18.546772997774596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19"/>
          <c:order val="19"/>
          <c:tx>
            <c:strRef>
              <c:f>'TABLE (observations)'!$AL$26</c:f>
              <c:strCache>
                <c:ptCount val="1"/>
                <c:pt idx="0">
                  <c:v>Avior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(observations)'!$AM$26</c:f>
              <c:numCache>
                <c:formatCode>General</c:formatCode>
                <c:ptCount val="1"/>
                <c:pt idx="0">
                  <c:v>198.43467862783547</c:v>
                </c:pt>
              </c:numCache>
            </c:numRef>
          </c:xVal>
          <c:yVal>
            <c:numRef>
              <c:f>'TABLE (observations)'!$AN$26</c:f>
              <c:numCache>
                <c:formatCode>General</c:formatCode>
                <c:ptCount val="1"/>
                <c:pt idx="0">
                  <c:v>3.7711692450065422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0"/>
          <c:order val="20"/>
          <c:tx>
            <c:strRef>
              <c:f>'TABLE (observations)'!$AL$27</c:f>
              <c:strCache>
                <c:ptCount val="1"/>
                <c:pt idx="0">
                  <c:v>Bellatrix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(observations)'!$AM$27</c:f>
              <c:numCache>
                <c:formatCode>General</c:formatCode>
                <c:ptCount val="1"/>
                <c:pt idx="0">
                  <c:v>273.48179416829606</c:v>
                </c:pt>
              </c:numCache>
            </c:numRef>
          </c:xVal>
          <c:yVal>
            <c:numRef>
              <c:f>'TABLE (observations)'!$AN$27</c:f>
              <c:numCache>
                <c:formatCode>General</c:formatCode>
                <c:ptCount val="1"/>
                <c:pt idx="0">
                  <c:v>8.9027008436194368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1"/>
          <c:order val="21"/>
          <c:tx>
            <c:strRef>
              <c:f>'TABLE (observations)'!$AL$28</c:f>
              <c:strCache>
                <c:ptCount val="1"/>
                <c:pt idx="0">
                  <c:v>Betelgeuse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(observations)'!$AM$28</c:f>
              <c:numCache>
                <c:formatCode>General</c:formatCode>
                <c:ptCount val="1"/>
                <c:pt idx="0">
                  <c:v>271.90395548892474</c:v>
                </c:pt>
              </c:numCache>
            </c:numRef>
          </c:xVal>
          <c:yVal>
            <c:numRef>
              <c:f>'TABLE (observations)'!$AN$28</c:f>
              <c:numCache>
                <c:formatCode>General</c:formatCode>
                <c:ptCount val="1"/>
                <c:pt idx="0">
                  <c:v>16.274871976182506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2"/>
          <c:order val="22"/>
          <c:tx>
            <c:strRef>
              <c:f>'TABLE (observations)'!$AL$29</c:f>
              <c:strCache>
                <c:ptCount val="1"/>
                <c:pt idx="0">
                  <c:v>Canopus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(observations)'!$AM$29</c:f>
              <c:numCache>
                <c:formatCode>General</c:formatCode>
                <c:ptCount val="1"/>
                <c:pt idx="0">
                  <c:v>214.31783000191905</c:v>
                </c:pt>
              </c:numCache>
            </c:numRef>
          </c:xVal>
          <c:yVal>
            <c:numRef>
              <c:f>'TABLE (observations)'!$AN$29</c:f>
              <c:numCache>
                <c:formatCode>General</c:formatCode>
                <c:ptCount val="1"/>
                <c:pt idx="0">
                  <c:v>-4.0407191726246348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3"/>
          <c:order val="23"/>
          <c:tx>
            <c:strRef>
              <c:f>'TABLE (observations)'!$AL$30</c:f>
              <c:strCache>
                <c:ptCount val="1"/>
                <c:pt idx="0">
                  <c:v>Capella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(observations)'!$AM$30</c:f>
              <c:numCache>
                <c:formatCode>General</c:formatCode>
                <c:ptCount val="1"/>
                <c:pt idx="0">
                  <c:v>313.28380283799851</c:v>
                </c:pt>
              </c:numCache>
            </c:numRef>
          </c:xVal>
          <c:yVal>
            <c:numRef>
              <c:f>'TABLE (observations)'!$AN$30</c:f>
              <c:numCache>
                <c:formatCode>General</c:formatCode>
                <c:ptCount val="1"/>
                <c:pt idx="0">
                  <c:v>18.14812857002747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4"/>
          <c:order val="24"/>
          <c:tx>
            <c:strRef>
              <c:f>'TABLE (observations)'!$AL$31</c:f>
              <c:strCache>
                <c:ptCount val="1"/>
                <c:pt idx="0">
                  <c:v>Deneb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(observations)'!$AM$31</c:f>
              <c:numCache>
                <c:formatCode>General</c:formatCode>
                <c:ptCount val="1"/>
                <c:pt idx="0">
                  <c:v>24.125118489665141</c:v>
                </c:pt>
              </c:numCache>
            </c:numRef>
          </c:xVal>
          <c:yVal>
            <c:numRef>
              <c:f>'TABLE (observations)'!$AN$31</c:f>
              <c:numCache>
                <c:formatCode>General</c:formatCode>
                <c:ptCount val="1"/>
                <c:pt idx="0">
                  <c:v>-17.160925434299592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5"/>
          <c:order val="25"/>
          <c:tx>
            <c:strRef>
              <c:f>'TABLE (observations)'!$AL$32</c:f>
              <c:strCache>
                <c:ptCount val="1"/>
                <c:pt idx="0">
                  <c:v>Denebola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(observations)'!$AM$32</c:f>
              <c:numCache>
                <c:formatCode>General</c:formatCode>
                <c:ptCount val="1"/>
                <c:pt idx="0">
                  <c:v>114.38992753218862</c:v>
                </c:pt>
              </c:numCache>
            </c:numRef>
          </c:xVal>
          <c:yVal>
            <c:numRef>
              <c:f>'TABLE (observations)'!$AN$32</c:f>
              <c:numCache>
                <c:formatCode>General</c:formatCode>
                <c:ptCount val="1"/>
                <c:pt idx="0">
                  <c:v>76.029750631179354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6"/>
          <c:order val="26"/>
          <c:tx>
            <c:strRef>
              <c:f>'TABLE (observations)'!$AL$33</c:f>
              <c:strCache>
                <c:ptCount val="1"/>
                <c:pt idx="0">
                  <c:v>Diphda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(observations)'!$AM$33</c:f>
              <c:numCache>
                <c:formatCode>General</c:formatCode>
                <c:ptCount val="1"/>
                <c:pt idx="0">
                  <c:v>271.7550975606589</c:v>
                </c:pt>
              </c:numCache>
            </c:numRef>
          </c:xVal>
          <c:yVal>
            <c:numRef>
              <c:f>'TABLE (observations)'!$AN$33</c:f>
              <c:numCache>
                <c:formatCode>General</c:formatCode>
                <c:ptCount val="1"/>
                <c:pt idx="0">
                  <c:v>-64.62615824576757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7"/>
          <c:order val="27"/>
          <c:tx>
            <c:strRef>
              <c:f>'TABLE (observations)'!$AL$34</c:f>
              <c:strCache>
                <c:ptCount val="1"/>
                <c:pt idx="0">
                  <c:v>Dubhe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(observations)'!$AM$34</c:f>
              <c:numCache>
                <c:formatCode>General</c:formatCode>
                <c:ptCount val="1"/>
                <c:pt idx="0">
                  <c:v>1.3235542006016421</c:v>
                </c:pt>
              </c:numCache>
            </c:numRef>
          </c:xVal>
          <c:yVal>
            <c:numRef>
              <c:f>'TABLE (observations)'!$AN$34</c:f>
              <c:numCache>
                <c:formatCode>General</c:formatCode>
                <c:ptCount val="1"/>
                <c:pt idx="0">
                  <c:v>49.038897215920727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8"/>
          <c:order val="28"/>
          <c:tx>
            <c:strRef>
              <c:f>'TABLE (observations)'!$AL$35</c:f>
              <c:strCache>
                <c:ptCount val="1"/>
                <c:pt idx="0">
                  <c:v>Elnath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(observations)'!$AM$35</c:f>
              <c:numCache>
                <c:formatCode>General</c:formatCode>
                <c:ptCount val="1"/>
                <c:pt idx="0">
                  <c:v>295.10976809778299</c:v>
                </c:pt>
              </c:numCache>
            </c:numRef>
          </c:xVal>
          <c:yVal>
            <c:numRef>
              <c:f>'TABLE (observations)'!$AN$35</c:f>
              <c:numCache>
                <c:formatCode>General</c:formatCode>
                <c:ptCount val="1"/>
                <c:pt idx="0">
                  <c:v>15.999874531214072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29"/>
          <c:order val="29"/>
          <c:tx>
            <c:strRef>
              <c:f>'TABLE (observations)'!$AL$36</c:f>
              <c:strCache>
                <c:ptCount val="1"/>
                <c:pt idx="0">
                  <c:v>Eltanin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(observations)'!$AM$36</c:f>
              <c:numCache>
                <c:formatCode>General</c:formatCode>
                <c:ptCount val="1"/>
                <c:pt idx="0">
                  <c:v>37.313148622982489</c:v>
                </c:pt>
              </c:numCache>
            </c:numRef>
          </c:xVal>
          <c:yVal>
            <c:numRef>
              <c:f>'TABLE (observations)'!$AN$36</c:f>
              <c:numCache>
                <c:formatCode>General</c:formatCode>
                <c:ptCount val="1"/>
                <c:pt idx="0">
                  <c:v>7.2100158643370929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0"/>
          <c:order val="30"/>
          <c:tx>
            <c:strRef>
              <c:f>'TABLE (observations)'!$AL$37</c:f>
              <c:strCache>
                <c:ptCount val="1"/>
                <c:pt idx="0">
                  <c:v>Enif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(observations)'!$AM$37</c:f>
              <c:numCache>
                <c:formatCode>General</c:formatCode>
                <c:ptCount val="1"/>
                <c:pt idx="0">
                  <c:v>31.832233590708693</c:v>
                </c:pt>
              </c:numCache>
            </c:numRef>
          </c:xVal>
          <c:yVal>
            <c:numRef>
              <c:f>'TABLE (observations)'!$AN$37</c:f>
              <c:numCache>
                <c:formatCode>General</c:formatCode>
                <c:ptCount val="1"/>
                <c:pt idx="0">
                  <c:v>-54.54763698510569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1"/>
          <c:order val="31"/>
          <c:tx>
            <c:strRef>
              <c:f>'TABLE (observations)'!$AL$38</c:f>
              <c:strCache>
                <c:ptCount val="1"/>
                <c:pt idx="0">
                  <c:v>Formalhaut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(observations)'!$AM$38</c:f>
              <c:numCache>
                <c:formatCode>General</c:formatCode>
                <c:ptCount val="1"/>
                <c:pt idx="0">
                  <c:v>181.35772630210721</c:v>
                </c:pt>
              </c:numCache>
            </c:numRef>
          </c:xVal>
          <c:yVal>
            <c:numRef>
              <c:f>'TABLE (observations)'!$AN$38</c:f>
              <c:numCache>
                <c:formatCode>General</c:formatCode>
                <c:ptCount val="1"/>
                <c:pt idx="0">
                  <c:v>-81.174007668482773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2"/>
          <c:order val="32"/>
          <c:tx>
            <c:strRef>
              <c:f>'TABLE (observations)'!$AL$39</c:f>
              <c:strCache>
                <c:ptCount val="1"/>
                <c:pt idx="0">
                  <c:v>Gacrux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(observations)'!$AM$39</c:f>
              <c:numCache>
                <c:formatCode>General</c:formatCode>
                <c:ptCount val="1"/>
                <c:pt idx="0">
                  <c:v>167.29122331820653</c:v>
                </c:pt>
              </c:numCache>
            </c:numRef>
          </c:xVal>
          <c:yVal>
            <c:numRef>
              <c:f>'TABLE (observations)'!$AN$39</c:f>
              <c:numCache>
                <c:formatCode>General</c:formatCode>
                <c:ptCount val="1"/>
                <c:pt idx="0">
                  <c:v>9.611707516447547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3"/>
          <c:order val="33"/>
          <c:tx>
            <c:strRef>
              <c:f>'TABLE (observations)'!$AL$40</c:f>
              <c:strCache>
                <c:ptCount val="1"/>
                <c:pt idx="0">
                  <c:v>Gienah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(observations)'!$AM$40</c:f>
              <c:numCache>
                <c:formatCode>General</c:formatCode>
                <c:ptCount val="1"/>
                <c:pt idx="0">
                  <c:v>151.73902010292377</c:v>
                </c:pt>
              </c:numCache>
            </c:numRef>
          </c:xVal>
          <c:yVal>
            <c:numRef>
              <c:f>'TABLE (observations)'!$AN$40</c:f>
              <c:numCache>
                <c:formatCode>General</c:formatCode>
                <c:ptCount val="1"/>
                <c:pt idx="0">
                  <c:v>47.018403417985077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4"/>
          <c:order val="34"/>
          <c:tx>
            <c:strRef>
              <c:f>'TABLE (observations)'!$AL$41</c:f>
              <c:strCache>
                <c:ptCount val="1"/>
                <c:pt idx="0">
                  <c:v>Hadar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(observations)'!$AM$41</c:f>
              <c:numCache>
                <c:formatCode>General</c:formatCode>
                <c:ptCount val="1"/>
                <c:pt idx="0">
                  <c:v>158.94701743387276</c:v>
                </c:pt>
              </c:numCache>
            </c:numRef>
          </c:xVal>
          <c:yVal>
            <c:numRef>
              <c:f>'TABLE (observations)'!$AN$41</c:f>
              <c:numCache>
                <c:formatCode>General</c:formatCode>
                <c:ptCount val="1"/>
                <c:pt idx="0">
                  <c:v>0.48117793554247046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5"/>
          <c:order val="35"/>
          <c:tx>
            <c:strRef>
              <c:f>'TABLE (observations)'!$AL$42</c:f>
              <c:strCache>
                <c:ptCount val="1"/>
                <c:pt idx="0">
                  <c:v>Hamal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(observations)'!$AM$42</c:f>
              <c:numCache>
                <c:formatCode>General</c:formatCode>
                <c:ptCount val="1"/>
                <c:pt idx="0">
                  <c:v>311.15252567594905</c:v>
                </c:pt>
              </c:numCache>
            </c:numRef>
          </c:xVal>
          <c:yVal>
            <c:numRef>
              <c:f>'TABLE (observations)'!$AN$42</c:f>
              <c:numCache>
                <c:formatCode>General</c:formatCode>
                <c:ptCount val="1"/>
                <c:pt idx="0">
                  <c:v>-25.874526751897605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6"/>
          <c:order val="36"/>
          <c:tx>
            <c:strRef>
              <c:f>'TABLE (observations)'!$AL$43</c:f>
              <c:strCache>
                <c:ptCount val="1"/>
                <c:pt idx="0">
                  <c:v>Jupiter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(observations)'!$AM$43</c:f>
              <c:numCache>
                <c:formatCode>General</c:formatCode>
                <c:ptCount val="1"/>
                <c:pt idx="0">
                  <c:v>116.36142265238175</c:v>
                </c:pt>
              </c:numCache>
            </c:numRef>
          </c:xVal>
          <c:yVal>
            <c:numRef>
              <c:f>'TABLE (observations)'!$AN$43</c:f>
              <c:numCache>
                <c:formatCode>General</c:formatCode>
                <c:ptCount val="1"/>
                <c:pt idx="0">
                  <c:v>19.197632646968142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2</c:v>
              </c:pt>
            </c:numLit>
          </c:bubbleSize>
          <c:bubble3D val="1"/>
        </c:ser>
        <c:ser>
          <c:idx val="37"/>
          <c:order val="37"/>
          <c:tx>
            <c:strRef>
              <c:f>'TABLE (observations)'!$AL$44</c:f>
              <c:strCache>
                <c:ptCount val="1"/>
                <c:pt idx="0">
                  <c:v>Kaus Austr.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(observations)'!$AM$44</c:f>
              <c:numCache>
                <c:formatCode>General</c:formatCode>
                <c:ptCount val="1"/>
                <c:pt idx="0">
                  <c:v>118.70373679243741</c:v>
                </c:pt>
              </c:numCache>
            </c:numRef>
          </c:xVal>
          <c:yVal>
            <c:numRef>
              <c:f>'TABLE (observations)'!$AN$44</c:f>
              <c:numCache>
                <c:formatCode>General</c:formatCode>
                <c:ptCount val="1"/>
                <c:pt idx="0">
                  <c:v>-29.152376201892942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8"/>
          <c:order val="38"/>
          <c:tx>
            <c:strRef>
              <c:f>'TABLE (observations)'!$AL$45</c:f>
              <c:strCache>
                <c:ptCount val="1"/>
                <c:pt idx="0">
                  <c:v>Kochab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(observations)'!$AM$45</c:f>
              <c:numCache>
                <c:formatCode>General</c:formatCode>
                <c:ptCount val="1"/>
                <c:pt idx="0">
                  <c:v>15.422083321737004</c:v>
                </c:pt>
              </c:numCache>
            </c:numRef>
          </c:xVal>
          <c:yVal>
            <c:numRef>
              <c:f>'TABLE (observations)'!$AN$45</c:f>
              <c:numCache>
                <c:formatCode>General</c:formatCode>
                <c:ptCount val="1"/>
                <c:pt idx="0">
                  <c:v>28.270280365963043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39"/>
          <c:order val="39"/>
          <c:tx>
            <c:strRef>
              <c:f>'TABLE (observations)'!$AL$46</c:f>
              <c:strCache>
                <c:ptCount val="1"/>
                <c:pt idx="0">
                  <c:v>Markab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(observations)'!$AM$46</c:f>
              <c:numCache>
                <c:formatCode>General</c:formatCode>
                <c:ptCount val="1"/>
                <c:pt idx="0">
                  <c:v>356.64035966348069</c:v>
                </c:pt>
              </c:numCache>
            </c:numRef>
          </c:xVal>
          <c:yVal>
            <c:numRef>
              <c:f>'TABLE (observations)'!$AN$46</c:f>
              <c:numCache>
                <c:formatCode>General</c:formatCode>
                <c:ptCount val="1"/>
                <c:pt idx="0">
                  <c:v>-53.934636943716704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0"/>
          <c:order val="40"/>
          <c:tx>
            <c:strRef>
              <c:f>'TABLE (observations)'!$AL$47</c:f>
              <c:strCache>
                <c:ptCount val="1"/>
                <c:pt idx="0">
                  <c:v>Mars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(observations)'!$AM$47</c:f>
              <c:numCache>
                <c:formatCode>General</c:formatCode>
                <c:ptCount val="1"/>
                <c:pt idx="0">
                  <c:v>100.59304531480845</c:v>
                </c:pt>
              </c:numCache>
            </c:numRef>
          </c:xVal>
          <c:yVal>
            <c:numRef>
              <c:f>'TABLE (observations)'!$AN$47</c:f>
              <c:numCache>
                <c:formatCode>General</c:formatCode>
                <c:ptCount val="1"/>
                <c:pt idx="0">
                  <c:v>-48.970051362971191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2</c:v>
              </c:pt>
            </c:numLit>
          </c:bubbleSize>
          <c:bubble3D val="1"/>
        </c:ser>
        <c:ser>
          <c:idx val="41"/>
          <c:order val="41"/>
          <c:tx>
            <c:strRef>
              <c:f>'TABLE (observations)'!$AL$48</c:f>
              <c:strCache>
                <c:ptCount val="1"/>
                <c:pt idx="0">
                  <c:v>Menkar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(observations)'!$AM$48</c:f>
              <c:numCache>
                <c:formatCode>General</c:formatCode>
                <c:ptCount val="1"/>
                <c:pt idx="0">
                  <c:v>285.108848855171</c:v>
                </c:pt>
              </c:numCache>
            </c:numRef>
          </c:xVal>
          <c:yVal>
            <c:numRef>
              <c:f>'TABLE (observations)'!$AN$48</c:f>
              <c:numCache>
                <c:formatCode>General</c:formatCode>
                <c:ptCount val="1"/>
                <c:pt idx="0">
                  <c:v>-24.869720822620899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2"/>
          <c:order val="42"/>
          <c:tx>
            <c:strRef>
              <c:f>'TABLE (observations)'!$AL$49</c:f>
              <c:strCache>
                <c:ptCount val="1"/>
                <c:pt idx="0">
                  <c:v>Menkent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(observations)'!$AM$49</c:f>
              <c:numCache>
                <c:formatCode>General</c:formatCode>
                <c:ptCount val="1"/>
                <c:pt idx="0">
                  <c:v>141.5866077874563</c:v>
                </c:pt>
              </c:numCache>
            </c:numRef>
          </c:xVal>
          <c:yVal>
            <c:numRef>
              <c:f>'TABLE (observations)'!$AN$49</c:f>
              <c:numCache>
                <c:formatCode>General</c:formatCode>
                <c:ptCount val="1"/>
                <c:pt idx="0">
                  <c:v>17.349396473317164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3"/>
          <c:order val="43"/>
          <c:tx>
            <c:strRef>
              <c:f>'TABLE (observations)'!$AL$50</c:f>
              <c:strCache>
                <c:ptCount val="1"/>
                <c:pt idx="0">
                  <c:v>Miaplacidus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(observations)'!$AM$50</c:f>
              <c:numCache>
                <c:formatCode>General</c:formatCode>
                <c:ptCount val="1"/>
                <c:pt idx="0">
                  <c:v>188.67826169926988</c:v>
                </c:pt>
              </c:numCache>
            </c:numRef>
          </c:xVal>
          <c:yVal>
            <c:numRef>
              <c:f>'TABLE (observations)'!$AN$50</c:f>
              <c:numCache>
                <c:formatCode>General</c:formatCode>
                <c:ptCount val="1"/>
                <c:pt idx="0">
                  <c:v>-2.3523670597790907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4"/>
          <c:order val="44"/>
          <c:tx>
            <c:strRef>
              <c:f>'TABLE (observations)'!$AL$51</c:f>
              <c:strCache>
                <c:ptCount val="1"/>
                <c:pt idx="0">
                  <c:v>Mirfak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(observations)'!$AM$51</c:f>
              <c:numCache>
                <c:formatCode>General</c:formatCode>
                <c:ptCount val="1"/>
                <c:pt idx="0">
                  <c:v>323.65023362076528</c:v>
                </c:pt>
              </c:numCache>
            </c:numRef>
          </c:xVal>
          <c:yVal>
            <c:numRef>
              <c:f>'TABLE (observations)'!$AN$51</c:f>
              <c:numCache>
                <c:formatCode>General</c:formatCode>
                <c:ptCount val="1"/>
                <c:pt idx="0">
                  <c:v>1.9897528537987632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5"/>
          <c:order val="45"/>
          <c:tx>
            <c:strRef>
              <c:f>'TABLE (observations)'!$AL$52</c:f>
              <c:strCache>
                <c:ptCount val="1"/>
                <c:pt idx="0">
                  <c:v>Nunki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(observations)'!$AM$52</c:f>
              <c:numCache>
                <c:formatCode>General</c:formatCode>
                <c:ptCount val="1"/>
                <c:pt idx="0">
                  <c:v>108.26526203632058</c:v>
                </c:pt>
              </c:numCache>
            </c:numRef>
          </c:xVal>
          <c:yVal>
            <c:numRef>
              <c:f>'TABLE (observations)'!$AN$52</c:f>
              <c:numCache>
                <c:formatCode>General</c:formatCode>
                <c:ptCount val="1"/>
                <c:pt idx="0">
                  <c:v>-34.846827225057822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6"/>
          <c:order val="46"/>
          <c:tx>
            <c:strRef>
              <c:f>'TABLE (observations)'!$AL$53</c:f>
              <c:strCache>
                <c:ptCount val="1"/>
                <c:pt idx="0">
                  <c:v>Peacock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(observations)'!$AM$53</c:f>
              <c:numCache>
                <c:formatCode>General</c:formatCode>
                <c:ptCount val="1"/>
                <c:pt idx="0">
                  <c:v>151.80711123749597</c:v>
                </c:pt>
              </c:numCache>
            </c:numRef>
          </c:xVal>
          <c:yVal>
            <c:numRef>
              <c:f>'TABLE (observations)'!$AN$53</c:f>
              <c:numCache>
                <c:formatCode>General</c:formatCode>
                <c:ptCount val="1"/>
                <c:pt idx="0">
                  <c:v>-44.545885555673905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7"/>
          <c:order val="47"/>
          <c:tx>
            <c:strRef>
              <c:f>'TABLE (observations)'!$AL$54</c:f>
              <c:strCache>
                <c:ptCount val="1"/>
                <c:pt idx="0">
                  <c:v>Pollux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(observations)'!$AM$54</c:f>
              <c:numCache>
                <c:formatCode>General</c:formatCode>
                <c:ptCount val="1"/>
                <c:pt idx="0">
                  <c:v>289.30087915505499</c:v>
                </c:pt>
              </c:numCache>
            </c:numRef>
          </c:xVal>
          <c:yVal>
            <c:numRef>
              <c:f>'TABLE (observations)'!$AN$54</c:f>
              <c:numCache>
                <c:formatCode>General</c:formatCode>
                <c:ptCount val="1"/>
                <c:pt idx="0">
                  <c:v>46.115548093756239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8"/>
          <c:order val="48"/>
          <c:tx>
            <c:strRef>
              <c:f>'TABLE (observations)'!$AL$55</c:f>
              <c:strCache>
                <c:ptCount val="1"/>
                <c:pt idx="0">
                  <c:v>Procyon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(observations)'!$AM$55</c:f>
              <c:numCache>
                <c:formatCode>General</c:formatCode>
                <c:ptCount val="1"/>
                <c:pt idx="0">
                  <c:v>259.12562448079086</c:v>
                </c:pt>
              </c:numCache>
            </c:numRef>
          </c:xVal>
          <c:yVal>
            <c:numRef>
              <c:f>'TABLE (observations)'!$AN$55</c:f>
              <c:numCache>
                <c:formatCode>General</c:formatCode>
                <c:ptCount val="1"/>
                <c:pt idx="0">
                  <c:v>39.736794818489585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49"/>
          <c:order val="49"/>
          <c:tx>
            <c:strRef>
              <c:f>'TABLE (observations)'!$AL$56</c:f>
              <c:strCache>
                <c:ptCount val="1"/>
                <c:pt idx="0">
                  <c:v>Rasalhague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(observations)'!$AM$56</c:f>
              <c:numCache>
                <c:formatCode>General</c:formatCode>
                <c:ptCount val="1"/>
                <c:pt idx="0">
                  <c:v>74.84219760017514</c:v>
                </c:pt>
              </c:numCache>
            </c:numRef>
          </c:xVal>
          <c:yVal>
            <c:numRef>
              <c:f>'TABLE (observations)'!$AN$56</c:f>
              <c:numCache>
                <c:formatCode>General</c:formatCode>
                <c:ptCount val="1"/>
                <c:pt idx="0">
                  <c:v>-4.3162830296470593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0"/>
          <c:order val="50"/>
          <c:tx>
            <c:strRef>
              <c:f>'TABLE (observations)'!$AL$57</c:f>
              <c:strCache>
                <c:ptCount val="1"/>
                <c:pt idx="0">
                  <c:v>Regulus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(observations)'!$AM$57</c:f>
              <c:numCache>
                <c:formatCode>General</c:formatCode>
                <c:ptCount val="1"/>
                <c:pt idx="0">
                  <c:v>234.46602356549906</c:v>
                </c:pt>
              </c:numCache>
            </c:numRef>
          </c:xVal>
          <c:yVal>
            <c:numRef>
              <c:f>'TABLE (observations)'!$AN$57</c:f>
              <c:numCache>
                <c:formatCode>General</c:formatCode>
                <c:ptCount val="1"/>
                <c:pt idx="0">
                  <c:v>75.463278083533964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1"/>
          <c:order val="51"/>
          <c:tx>
            <c:strRef>
              <c:f>'TABLE (observations)'!$AL$58</c:f>
              <c:strCache>
                <c:ptCount val="1"/>
                <c:pt idx="0">
                  <c:v>Rigel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(observations)'!$AM$58</c:f>
              <c:numCache>
                <c:formatCode>General</c:formatCode>
                <c:ptCount val="1"/>
                <c:pt idx="0">
                  <c:v>260.75659569050237</c:v>
                </c:pt>
              </c:numCache>
            </c:numRef>
          </c:xVal>
          <c:yVal>
            <c:numRef>
              <c:f>'TABLE (observations)'!$AN$58</c:f>
              <c:numCache>
                <c:formatCode>General</c:formatCode>
                <c:ptCount val="1"/>
                <c:pt idx="0">
                  <c:v>1.2720946173992747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2"/>
          <c:order val="52"/>
          <c:tx>
            <c:strRef>
              <c:f>'TABLE (observations)'!$AL$59</c:f>
              <c:strCache>
                <c:ptCount val="1"/>
                <c:pt idx="0">
                  <c:v>Rigil Kent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(observations)'!$AM$59</c:f>
              <c:numCache>
                <c:formatCode>General</c:formatCode>
                <c:ptCount val="1"/>
                <c:pt idx="0">
                  <c:v>156.28055899686248</c:v>
                </c:pt>
              </c:numCache>
            </c:numRef>
          </c:xVal>
          <c:yVal>
            <c:numRef>
              <c:f>'TABLE (observations)'!$AN$59</c:f>
              <c:numCache>
                <c:formatCode>General</c:formatCode>
                <c:ptCount val="1"/>
                <c:pt idx="0">
                  <c:v>-3.0238045511717222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3"/>
          <c:order val="53"/>
          <c:tx>
            <c:strRef>
              <c:f>'TABLE (observations)'!$AL$60</c:f>
              <c:strCache>
                <c:ptCount val="1"/>
                <c:pt idx="0">
                  <c:v>Sabik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(observations)'!$AM$60</c:f>
              <c:numCache>
                <c:formatCode>General</c:formatCode>
                <c:ptCount val="1"/>
                <c:pt idx="0">
                  <c:v>103.65891783499777</c:v>
                </c:pt>
              </c:numCache>
            </c:numRef>
          </c:xVal>
          <c:yVal>
            <c:numRef>
              <c:f>'TABLE (observations)'!$AN$60</c:f>
              <c:numCache>
                <c:formatCode>General</c:formatCode>
                <c:ptCount val="1"/>
                <c:pt idx="0">
                  <c:v>-8.6180868006146536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4"/>
          <c:order val="54"/>
          <c:tx>
            <c:strRef>
              <c:f>'TABLE (observations)'!$AL$61</c:f>
              <c:strCache>
                <c:ptCount val="1"/>
                <c:pt idx="0">
                  <c:v>Saturnus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(observations)'!$AM$61</c:f>
              <c:numCache>
                <c:formatCode>General</c:formatCode>
                <c:ptCount val="1"/>
                <c:pt idx="0">
                  <c:v>104.44829009473258</c:v>
                </c:pt>
              </c:numCache>
            </c:numRef>
          </c:xVal>
          <c:yVal>
            <c:numRef>
              <c:f>'TABLE (observations)'!$AN$61</c:f>
              <c:numCache>
                <c:formatCode>General</c:formatCode>
                <c:ptCount val="1"/>
                <c:pt idx="0">
                  <c:v>-30.030943342130922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2</c:v>
              </c:pt>
            </c:numLit>
          </c:bubbleSize>
          <c:bubble3D val="1"/>
        </c:ser>
        <c:ser>
          <c:idx val="55"/>
          <c:order val="55"/>
          <c:tx>
            <c:strRef>
              <c:f>'TABLE (observations)'!$AL$62</c:f>
              <c:strCache>
                <c:ptCount val="1"/>
                <c:pt idx="0">
                  <c:v>Schedar</c:v>
                </c:pt>
              </c:strCache>
            </c:strRef>
          </c:tx>
          <c:spPr>
            <a:solidFill>
              <a:srgbClr val="FFCC00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xVal>
            <c:numRef>
              <c:f>'TABLE (observations)'!$AM$62</c:f>
              <c:numCache>
                <c:formatCode>General</c:formatCode>
                <c:ptCount val="1"/>
                <c:pt idx="0">
                  <c:v>345.85866576119014</c:v>
                </c:pt>
              </c:numCache>
            </c:numRef>
          </c:xVal>
          <c:yVal>
            <c:numRef>
              <c:f>'TABLE (observations)'!$AN$62</c:f>
              <c:numCache>
                <c:formatCode>General</c:formatCode>
                <c:ptCount val="1"/>
                <c:pt idx="0">
                  <c:v>-9.6179728782062597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6"/>
          <c:order val="56"/>
          <c:tx>
            <c:strRef>
              <c:f>'TABLE (observations)'!$AL$63</c:f>
              <c:strCache>
                <c:ptCount val="1"/>
                <c:pt idx="0">
                  <c:v>Shaula</c:v>
                </c:pt>
              </c:strCache>
            </c:strRef>
          </c:tx>
          <c:spPr>
            <a:pattFill prst="pct50">
              <a:fgClr>
                <a:srgbClr val="FFCC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(observations)'!$AM$63</c:f>
              <c:numCache>
                <c:formatCode>General</c:formatCode>
                <c:ptCount val="1"/>
                <c:pt idx="0">
                  <c:v>123.41142887752352</c:v>
                </c:pt>
              </c:numCache>
            </c:numRef>
          </c:xVal>
          <c:yVal>
            <c:numRef>
              <c:f>'TABLE (observations)'!$AN$63</c:f>
              <c:numCache>
                <c:formatCode>General</c:formatCode>
                <c:ptCount val="1"/>
                <c:pt idx="0">
                  <c:v>-19.445925279685291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7"/>
          <c:order val="57"/>
          <c:tx>
            <c:strRef>
              <c:f>'TABLE (observations)'!$AL$64</c:f>
              <c:strCache>
                <c:ptCount val="1"/>
                <c:pt idx="0">
                  <c:v>Sirius</c:v>
                </c:pt>
              </c:strCache>
            </c:strRef>
          </c:tx>
          <c:spPr>
            <a:pattFill prst="pct50">
              <a:fgClr>
                <a:srgbClr val="FFCC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(observations)'!$AM$64</c:f>
              <c:numCache>
                <c:formatCode>General</c:formatCode>
                <c:ptCount val="1"/>
                <c:pt idx="0">
                  <c:v>243.55610228860533</c:v>
                </c:pt>
              </c:numCache>
            </c:numRef>
          </c:xVal>
          <c:yVal>
            <c:numRef>
              <c:f>'TABLE (observations)'!$AN$64</c:f>
              <c:numCache>
                <c:formatCode>General</c:formatCode>
                <c:ptCount val="1"/>
                <c:pt idx="0">
                  <c:v>17.872250395429468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8"/>
          <c:order val="58"/>
          <c:tx>
            <c:strRef>
              <c:f>'TABLE (observations)'!$AL$65</c:f>
              <c:strCache>
                <c:ptCount val="1"/>
                <c:pt idx="0">
                  <c:v>Spica</c:v>
                </c:pt>
              </c:strCache>
            </c:strRef>
          </c:tx>
          <c:spPr>
            <a:pattFill prst="pct50">
              <a:fgClr>
                <a:srgbClr val="FFCC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(observations)'!$AM$65</c:f>
              <c:numCache>
                <c:formatCode>General</c:formatCode>
                <c:ptCount val="1"/>
                <c:pt idx="0">
                  <c:v>127.77289878696249</c:v>
                </c:pt>
              </c:numCache>
            </c:numRef>
          </c:xVal>
          <c:yVal>
            <c:numRef>
              <c:f>'TABLE (observations)'!$AN$65</c:f>
              <c:numCache>
                <c:formatCode>General</c:formatCode>
                <c:ptCount val="1"/>
                <c:pt idx="0">
                  <c:v>41.471949384987028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59"/>
          <c:order val="59"/>
          <c:tx>
            <c:strRef>
              <c:f>'TABLE (observations)'!$AL$66</c:f>
              <c:strCache>
                <c:ptCount val="1"/>
                <c:pt idx="0">
                  <c:v>Suhail</c:v>
                </c:pt>
              </c:strCache>
            </c:strRef>
          </c:tx>
          <c:spPr>
            <a:pattFill prst="pct50">
              <a:fgClr>
                <a:srgbClr val="FFCC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(observations)'!$AM$66</c:f>
              <c:numCache>
                <c:formatCode>General</c:formatCode>
                <c:ptCount val="1"/>
                <c:pt idx="0">
                  <c:v>200.78504526545606</c:v>
                </c:pt>
              </c:numCache>
            </c:numRef>
          </c:xVal>
          <c:yVal>
            <c:numRef>
              <c:f>'TABLE (observations)'!$AN$66</c:f>
              <c:numCache>
                <c:formatCode>General</c:formatCode>
                <c:ptCount val="1"/>
                <c:pt idx="0">
                  <c:v>21.117322898550821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60"/>
          <c:order val="60"/>
          <c:tx>
            <c:strRef>
              <c:f>'TABLE (observations)'!$AL$67</c:f>
              <c:strCache>
                <c:ptCount val="1"/>
                <c:pt idx="0">
                  <c:v>Vega</c:v>
                </c:pt>
              </c:strCache>
            </c:strRef>
          </c:tx>
          <c:spPr>
            <a:pattFill prst="pct50">
              <a:fgClr>
                <a:srgbClr val="FFCC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(observations)'!$AM$67</c:f>
              <c:numCache>
                <c:formatCode>General</c:formatCode>
                <c:ptCount val="1"/>
                <c:pt idx="0">
                  <c:v>45.108191116091596</c:v>
                </c:pt>
              </c:numCache>
            </c:numRef>
          </c:xVal>
          <c:yVal>
            <c:numRef>
              <c:f>'TABLE (observations)'!$AN$67</c:f>
              <c:numCache>
                <c:formatCode>General</c:formatCode>
                <c:ptCount val="1"/>
                <c:pt idx="0">
                  <c:v>-5.0374609052847958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61"/>
          <c:order val="61"/>
          <c:tx>
            <c:strRef>
              <c:f>'TABLE (observations)'!$AL$68</c:f>
              <c:strCache>
                <c:ptCount val="1"/>
                <c:pt idx="0">
                  <c:v>Venus</c:v>
                </c:pt>
              </c:strCache>
            </c:strRef>
          </c:tx>
          <c:spPr>
            <a:pattFill prst="pct50">
              <a:fgClr>
                <a:srgbClr val="FF808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(observations)'!$AM$68</c:f>
              <c:numCache>
                <c:formatCode>General</c:formatCode>
                <c:ptCount val="1"/>
                <c:pt idx="0">
                  <c:v>291.72791963974532</c:v>
                </c:pt>
              </c:numCache>
            </c:numRef>
          </c:xVal>
          <c:yVal>
            <c:numRef>
              <c:f>'TABLE (observations)'!$AN$68</c:f>
              <c:numCache>
                <c:formatCode>General</c:formatCode>
                <c:ptCount val="1"/>
                <c:pt idx="0">
                  <c:v>11.712671853973601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2</c:v>
              </c:pt>
            </c:numLit>
          </c:bubbleSize>
          <c:bubble3D val="1"/>
        </c:ser>
        <c:ser>
          <c:idx val="62"/>
          <c:order val="62"/>
          <c:tx>
            <c:strRef>
              <c:f>'TABLE (observations)'!$AL$69</c:f>
              <c:strCache>
                <c:ptCount val="1"/>
                <c:pt idx="0">
                  <c:v>Zuben'ubi</c:v>
                </c:pt>
              </c:strCache>
            </c:strRef>
          </c:tx>
          <c:spPr>
            <a:pattFill prst="pct50">
              <a:fgClr>
                <a:srgbClr val="FFCC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1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ru-RU"/>
              </a:p>
            </c:txPr>
            <c:showSerName val="1"/>
          </c:dLbls>
          <c:xVal>
            <c:numRef>
              <c:f>'TABLE (observations)'!$AM$69</c:f>
              <c:numCache>
                <c:formatCode>General</c:formatCode>
                <c:ptCount val="1"/>
                <c:pt idx="0">
                  <c:v>118.05228513611625</c:v>
                </c:pt>
              </c:numCache>
            </c:numRef>
          </c:xVal>
          <c:yVal>
            <c:numRef>
              <c:f>'TABLE (observations)'!$AN$69</c:f>
              <c:numCache>
                <c:formatCode>General</c:formatCode>
                <c:ptCount val="1"/>
                <c:pt idx="0">
                  <c:v>21.751713763543741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1"/>
        </c:ser>
        <c:ser>
          <c:idx val="63"/>
          <c:order val="63"/>
          <c:tx>
            <c:v>bal</c:v>
          </c:tx>
          <c:spPr>
            <a:pattFill prst="pct50">
              <a:fgClr>
                <a:srgbClr val="27D6FF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-80</c:v>
              </c:pt>
            </c:numLit>
          </c:yVal>
          <c:bubbleSize>
            <c:numLit>
              <c:formatCode>General</c:formatCode>
              <c:ptCount val="1"/>
              <c:pt idx="0">
                <c:v>50</c:v>
              </c:pt>
            </c:numLit>
          </c:bubbleSize>
          <c:bubble3D val="1"/>
        </c:ser>
        <c:bubbleScale val="100"/>
        <c:axId val="92663168"/>
        <c:axId val="92669440"/>
      </c:bubbleChart>
      <c:valAx>
        <c:axId val="92663168"/>
        <c:scaling>
          <c:orientation val="minMax"/>
          <c:max val="360"/>
          <c:min val="0"/>
        </c:scaling>
        <c:axPos val="b"/>
        <c:title>
          <c:tx>
            <c:rich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US"/>
                  <a:t>Azimuth (degrees)</a:t>
                </a:r>
              </a:p>
            </c:rich>
          </c:tx>
          <c:layout>
            <c:manualLayout>
              <c:xMode val="edge"/>
              <c:yMode val="edge"/>
              <c:x val="0.45879121076943569"/>
              <c:y val="0.93540772920626281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25" b="0" i="0" u="none" strike="noStrike" baseline="0">
                <a:solidFill>
                  <a:srgbClr val="000000"/>
                </a:solidFill>
                <a:latin typeface="Century Gothic"/>
                <a:ea typeface="Century Gothic"/>
                <a:cs typeface="Century Gothic"/>
              </a:defRPr>
            </a:pPr>
            <a:endParaRPr lang="ru-RU"/>
          </a:p>
        </c:txPr>
        <c:crossAx val="92669440"/>
        <c:crosses val="autoZero"/>
        <c:crossBetween val="midCat"/>
        <c:majorUnit val="30"/>
        <c:minorUnit val="10"/>
      </c:valAx>
      <c:valAx>
        <c:axId val="92669440"/>
        <c:scaling>
          <c:orientation val="minMax"/>
          <c:max val="9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US"/>
                  <a:t>Altitude (degrees)</a:t>
                </a:r>
              </a:p>
            </c:rich>
          </c:tx>
          <c:layout>
            <c:manualLayout>
              <c:xMode val="edge"/>
              <c:yMode val="edge"/>
              <c:x val="1.6483515692225722E-2"/>
              <c:y val="0.34449814462847317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25" b="0" i="0" u="none" strike="noStrike" baseline="0">
                <a:solidFill>
                  <a:srgbClr val="000000"/>
                </a:solidFill>
                <a:latin typeface="Century Gothic"/>
                <a:ea typeface="Century Gothic"/>
                <a:cs typeface="Century Gothic"/>
              </a:defRPr>
            </a:pPr>
            <a:endParaRPr lang="ru-RU"/>
          </a:p>
        </c:txPr>
        <c:crossAx val="92663168"/>
        <c:crosses val="autoZero"/>
        <c:crossBetween val="midCat"/>
        <c:majorUnit val="10"/>
      </c:valAx>
      <c:spPr>
        <a:gradFill rotWithShape="0">
          <a:gsLst>
            <a:gs pos="0">
              <a:srgbClr val="287CFF"/>
            </a:gs>
            <a:gs pos="100000">
              <a:srgbClr val="2BD7FF"/>
            </a:gs>
          </a:gsLst>
          <a:lin ang="5400000" scaled="1"/>
        </a:gradFill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1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ru-RU"/>
    </a:p>
  </c:txPr>
  <c:printSettings>
    <c:headerFooter alignWithMargins="0"/>
    <c:pageMargins b="1" l="0.75000000000000011" r="0.7500000000000001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7620</xdr:colOff>
      <xdr:row>4</xdr:row>
      <xdr:rowOff>144780</xdr:rowOff>
    </xdr:from>
    <xdr:to>
      <xdr:col>67</xdr:col>
      <xdr:colOff>182880</xdr:colOff>
      <xdr:row>32</xdr:row>
      <xdr:rowOff>30480</xdr:rowOff>
    </xdr:to>
    <xdr:graphicFrame macro="">
      <xdr:nvGraphicFramePr>
        <xdr:cNvPr id="330414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41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30415" name="Rectangle 55"/>
        <xdr:cNvSpPr>
          <a:spLocks noChangeArrowheads="1"/>
        </xdr:cNvSpPr>
      </xdr:nvSpPr>
      <xdr:spPr bwMode="auto">
        <a:xfrm>
          <a:off x="2857500" y="5920740"/>
          <a:ext cx="762000" cy="32004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29</xdr:col>
      <xdr:colOff>99060</xdr:colOff>
      <xdr:row>34</xdr:row>
      <xdr:rowOff>38100</xdr:rowOff>
    </xdr:from>
    <xdr:to>
      <xdr:col>36</xdr:col>
      <xdr:colOff>76200</xdr:colOff>
      <xdr:row>37</xdr:row>
      <xdr:rowOff>144780</xdr:rowOff>
    </xdr:to>
    <xdr:grpSp>
      <xdr:nvGrpSpPr>
        <xdr:cNvPr id="330416" name="Group 81"/>
        <xdr:cNvGrpSpPr>
          <a:grpSpLocks/>
        </xdr:cNvGrpSpPr>
      </xdr:nvGrpSpPr>
      <xdr:grpSpPr bwMode="auto">
        <a:xfrm>
          <a:off x="5623560" y="4838700"/>
          <a:ext cx="1310640" cy="586740"/>
          <a:chOff x="502" y="514"/>
          <a:chExt cx="117" cy="62"/>
        </a:xfrm>
      </xdr:grpSpPr>
      <xdr:sp macro="" textlink="">
        <xdr:nvSpPr>
          <xdr:cNvPr id="330419" name="Rectangle 57"/>
          <xdr:cNvSpPr>
            <a:spLocks noChangeArrowheads="1"/>
          </xdr:cNvSpPr>
        </xdr:nvSpPr>
        <xdr:spPr bwMode="auto">
          <a:xfrm>
            <a:off x="502" y="514"/>
            <a:ext cx="117" cy="62"/>
          </a:xfrm>
          <a:prstGeom prst="rect">
            <a:avLst/>
          </a:prstGeom>
          <a:solidFill>
            <a:srgbClr val="FFFF00"/>
          </a:solidFill>
          <a:ln w="38100">
            <a:solidFill>
              <a:srgbClr val="000000"/>
            </a:solidFill>
            <a:miter lim="800000"/>
            <a:headEnd/>
            <a:tailEnd/>
          </a:ln>
        </xdr:spPr>
      </xdr:sp>
    </xdr:grpSp>
    <xdr:clientData fLocksWithSheet="0" fPrintsWithSheet="0"/>
  </xdr:twoCellAnchor>
  <xdr:twoCellAnchor>
    <xdr:from>
      <xdr:col>15</xdr:col>
      <xdr:colOff>19050</xdr:colOff>
      <xdr:row>32</xdr:row>
      <xdr:rowOff>49530</xdr:rowOff>
    </xdr:from>
    <xdr:to>
      <xdr:col>67</xdr:col>
      <xdr:colOff>182892</xdr:colOff>
      <xdr:row>33</xdr:row>
      <xdr:rowOff>133350</xdr:rowOff>
    </xdr:to>
    <xdr:sp macro="" textlink="">
      <xdr:nvSpPr>
        <xdr:cNvPr id="1108" name="WordArt 84"/>
        <xdr:cNvSpPr>
          <a:spLocks noChangeArrowheads="1" noChangeShapeType="1" noTextEdit="1"/>
        </xdr:cNvSpPr>
      </xdr:nvSpPr>
      <xdr:spPr bwMode="auto">
        <a:xfrm>
          <a:off x="2447925" y="4591050"/>
          <a:ext cx="8553450" cy="2381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kern="10" spc="-360">
              <a:ln w="12700">
                <a:solidFill>
                  <a:srgbClr val="000080"/>
                </a:solidFill>
                <a:round/>
                <a:headEnd/>
                <a:tailEnd/>
              </a:ln>
              <a:solidFill>
                <a:srgbClr val="FFFF00"/>
              </a:solidFill>
              <a:effectLst/>
              <a:latin typeface="Impact"/>
            </a:rPr>
            <a:t>It is possible to change only that is allocated by yellow colour!</a:t>
          </a:r>
          <a:endParaRPr lang="ru-RU" sz="3600" kern="10" spc="-360">
            <a:ln w="12700">
              <a:solidFill>
                <a:srgbClr val="000080"/>
              </a:solidFill>
              <a:round/>
              <a:headEnd/>
              <a:tailEnd/>
            </a:ln>
            <a:solidFill>
              <a:srgbClr val="FFFF00"/>
            </a:solidFill>
            <a:effectLst/>
            <a:latin typeface="Impact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3"/>
  <dimension ref="A1:BQ126"/>
  <sheetViews>
    <sheetView showGridLines="0" showRowColHeaders="0" tabSelected="1" topLeftCell="A5" zoomScaleNormal="100" zoomScaleSheetLayoutView="100" workbookViewId="0">
      <selection activeCell="L32" sqref="L32:M32"/>
    </sheetView>
  </sheetViews>
  <sheetFormatPr defaultColWidth="2.77734375" defaultRowHeight="12.75" customHeight="1"/>
  <cols>
    <col min="1" max="25" width="2.77734375" style="21" customWidth="1"/>
    <col min="26" max="27" width="2.77734375" style="22" customWidth="1"/>
    <col min="28" max="16384" width="2.77734375" style="21"/>
  </cols>
  <sheetData>
    <row r="1" spans="1:41" ht="12.75" hidden="1" customHeight="1">
      <c r="A1" s="20">
        <v>0</v>
      </c>
      <c r="P1" s="22"/>
      <c r="Q1" s="23"/>
      <c r="R1" s="23"/>
      <c r="S1" s="23"/>
      <c r="T1" s="23"/>
      <c r="U1" s="22"/>
      <c r="V1" s="22"/>
      <c r="W1" s="22"/>
      <c r="X1" s="22"/>
      <c r="Y1" s="22"/>
      <c r="AB1" s="22"/>
    </row>
    <row r="2" spans="1:41" ht="12.75" hidden="1" customHeight="1">
      <c r="P2" s="22"/>
      <c r="Q2" s="24"/>
      <c r="R2" s="24"/>
      <c r="S2" s="24"/>
      <c r="T2" s="24"/>
      <c r="U2" s="22"/>
      <c r="V2" s="22"/>
      <c r="W2" s="22"/>
      <c r="X2" s="22"/>
      <c r="Y2" s="22"/>
      <c r="Z2" s="25"/>
      <c r="AA2" s="25"/>
    </row>
    <row r="3" spans="1:41" ht="12.75" hidden="1" customHeight="1">
      <c r="P3" s="22"/>
      <c r="Q3" s="24"/>
      <c r="R3" s="24"/>
      <c r="S3" s="24"/>
      <c r="T3" s="24"/>
      <c r="U3" s="22"/>
      <c r="V3" s="22"/>
      <c r="W3" s="22"/>
      <c r="X3" s="22"/>
      <c r="Y3" s="22"/>
      <c r="Z3" s="25"/>
      <c r="AA3" s="25"/>
    </row>
    <row r="4" spans="1:41" ht="12.75" hidden="1" customHeight="1">
      <c r="U4" s="22"/>
      <c r="V4" s="22"/>
      <c r="W4" s="22"/>
      <c r="X4" s="22"/>
      <c r="Y4" s="22"/>
      <c r="Z4" s="26"/>
      <c r="AA4" s="26"/>
    </row>
    <row r="5" spans="1:41" ht="12.75" customHeight="1">
      <c r="O5" s="27"/>
      <c r="P5" s="24"/>
      <c r="U5" s="25"/>
      <c r="V5" s="28"/>
      <c r="W5" s="25"/>
      <c r="X5" s="29"/>
      <c r="Y5" s="28"/>
      <c r="Z5" s="30"/>
      <c r="AA5" s="25"/>
    </row>
    <row r="6" spans="1:41" ht="12.75" customHeight="1" thickBot="1">
      <c r="O6" s="27"/>
      <c r="P6" s="25"/>
      <c r="Q6" s="31"/>
      <c r="R6" s="31"/>
      <c r="S6" s="31"/>
      <c r="T6" s="31"/>
      <c r="U6" s="25"/>
      <c r="V6" s="28"/>
      <c r="W6" s="25"/>
      <c r="X6" s="29"/>
      <c r="Y6" s="28"/>
      <c r="Z6" s="32"/>
    </row>
    <row r="7" spans="1:41" ht="12.75" customHeight="1">
      <c r="B7" s="109" t="s">
        <v>207</v>
      </c>
      <c r="C7" s="110"/>
      <c r="D7" s="110"/>
      <c r="E7" s="110"/>
      <c r="F7" s="111"/>
      <c r="G7" s="115" t="s">
        <v>15</v>
      </c>
      <c r="H7" s="116"/>
      <c r="I7" s="117"/>
      <c r="J7" s="109" t="s">
        <v>16</v>
      </c>
      <c r="K7" s="110"/>
      <c r="L7" s="110"/>
      <c r="M7" s="111"/>
      <c r="O7" s="27"/>
      <c r="P7" s="124" t="s">
        <v>208</v>
      </c>
      <c r="Q7" s="125"/>
      <c r="R7" s="125"/>
      <c r="S7" s="125"/>
      <c r="T7" s="125"/>
      <c r="U7" s="128" t="str">
        <f>AN42</f>
        <v>Venus</v>
      </c>
      <c r="V7" s="129"/>
      <c r="W7" s="129"/>
      <c r="X7" s="129"/>
      <c r="Y7" s="130"/>
      <c r="Z7" s="32"/>
    </row>
    <row r="8" spans="1:41" ht="12.75" customHeight="1">
      <c r="B8" s="112"/>
      <c r="C8" s="113"/>
      <c r="D8" s="113"/>
      <c r="E8" s="113"/>
      <c r="F8" s="114"/>
      <c r="G8" s="118"/>
      <c r="H8" s="119"/>
      <c r="I8" s="120"/>
      <c r="J8" s="112"/>
      <c r="K8" s="113"/>
      <c r="L8" s="113"/>
      <c r="M8" s="114"/>
      <c r="P8" s="126"/>
      <c r="Q8" s="127"/>
      <c r="R8" s="127"/>
      <c r="S8" s="127"/>
      <c r="T8" s="127"/>
      <c r="U8" s="59"/>
      <c r="V8" s="59"/>
      <c r="W8" s="59"/>
      <c r="X8" s="59"/>
      <c r="Y8" s="60"/>
      <c r="Z8" s="32"/>
      <c r="AA8" s="24"/>
      <c r="AE8" s="21">
        <f>DEGREES(ASIN(SIN(RADIANS(AO12))*SIN(RADIANS(AC22))+COS(RADIANS(AO12))*COS(RADIANS(AC22))*COS(RADIANS(AD19))))</f>
        <v>-0.97021823432671828</v>
      </c>
    </row>
    <row r="9" spans="1:41" ht="12.75" customHeight="1">
      <c r="B9" s="86" t="s">
        <v>17</v>
      </c>
      <c r="C9" s="87"/>
      <c r="D9" s="87"/>
      <c r="E9" s="87"/>
      <c r="F9" s="88"/>
      <c r="G9" s="55" t="str">
        <f>IF('TABLE (observations)'!AK7&lt;0,"",'TABLE (observations)'!AH7)</f>
        <v/>
      </c>
      <c r="H9" s="56"/>
      <c r="I9" s="57"/>
      <c r="J9" s="105" t="str">
        <f>IF('TABLE (observations)'!AK7&lt;0,"",INT(ABS('TABLE (observations)'!AK7)))</f>
        <v/>
      </c>
      <c r="K9" s="106"/>
      <c r="L9" s="121" t="str">
        <f>IF('TABLE (observations)'!AK7&lt;0,"",('TABLE (observations)'!AK7-J9)*60)</f>
        <v/>
      </c>
      <c r="M9" s="63"/>
      <c r="P9" s="131">
        <f>IF(AC9&lt;0,-INT(ABS(AC9)),INT(ABS(AC9)))</f>
        <v>11</v>
      </c>
      <c r="Q9" s="132"/>
      <c r="R9" s="132"/>
      <c r="S9" s="132"/>
      <c r="T9" s="132"/>
      <c r="U9" s="132"/>
      <c r="V9" s="133">
        <f>(ABS(AC9)-ABS(P9))*60</f>
        <v>42.760311238416087</v>
      </c>
      <c r="W9" s="133"/>
      <c r="X9" s="133"/>
      <c r="Y9" s="134"/>
      <c r="Z9" s="32"/>
      <c r="AA9" s="28"/>
      <c r="AB9" s="34"/>
      <c r="AC9" s="21">
        <f>VLOOKUP(U7,'TABLE (observations)'!AL7:AN69,3,FALSE)</f>
        <v>11.712671853973601</v>
      </c>
    </row>
    <row r="10" spans="1:41" ht="12.75" customHeight="1">
      <c r="B10" s="89" t="s">
        <v>4</v>
      </c>
      <c r="C10" s="90"/>
      <c r="D10" s="90"/>
      <c r="E10" s="90"/>
      <c r="F10" s="91"/>
      <c r="G10" s="52" t="str">
        <f>IF('TABLE (observations)'!AK8&lt;0,"",'TABLE (observations)'!AH8)</f>
        <v/>
      </c>
      <c r="H10" s="53"/>
      <c r="I10" s="54"/>
      <c r="J10" s="105" t="str">
        <f>IF('TABLE (observations)'!AK8&lt;0,"",INT(ABS('TABLE (observations)'!AK8)))</f>
        <v/>
      </c>
      <c r="K10" s="106"/>
      <c r="L10" s="63" t="str">
        <f>IF('TABLE (observations)'!AK8&lt;0,"",('TABLE (observations)'!AK8-J10)*60)</f>
        <v/>
      </c>
      <c r="M10" s="63"/>
      <c r="N10" s="35"/>
      <c r="P10" s="78" t="s">
        <v>5</v>
      </c>
      <c r="Q10" s="79"/>
      <c r="R10" s="79"/>
      <c r="S10" s="79"/>
      <c r="T10" s="79"/>
      <c r="U10" s="58">
        <f>AF42</f>
        <v>292</v>
      </c>
      <c r="V10" s="59"/>
      <c r="W10" s="59"/>
      <c r="X10" s="59"/>
      <c r="Y10" s="60"/>
      <c r="Z10" s="32"/>
      <c r="AA10" s="24"/>
    </row>
    <row r="11" spans="1:41" ht="12.75" customHeight="1" thickBot="1">
      <c r="B11" s="89" t="s">
        <v>18</v>
      </c>
      <c r="C11" s="90"/>
      <c r="D11" s="90"/>
      <c r="E11" s="90"/>
      <c r="F11" s="91"/>
      <c r="G11" s="52" t="str">
        <f>IF('TABLE (observations)'!AK9&lt;0,"",'TABLE (observations)'!AH9)</f>
        <v/>
      </c>
      <c r="H11" s="53"/>
      <c r="I11" s="54"/>
      <c r="J11" s="105" t="str">
        <f>IF('TABLE (observations)'!AK9&lt;0,"",INT(ABS('TABLE (observations)'!AK9)))</f>
        <v/>
      </c>
      <c r="K11" s="106"/>
      <c r="L11" s="63" t="str">
        <f>IF('TABLE (observations)'!AK9&lt;0,"",('TABLE (observations)'!AK9-J11)*60)</f>
        <v/>
      </c>
      <c r="M11" s="63"/>
      <c r="N11" s="27"/>
      <c r="P11" s="80"/>
      <c r="Q11" s="81"/>
      <c r="R11" s="81"/>
      <c r="S11" s="81"/>
      <c r="T11" s="81"/>
      <c r="U11" s="61"/>
      <c r="V11" s="61"/>
      <c r="W11" s="61"/>
      <c r="X11" s="61"/>
      <c r="Y11" s="62"/>
      <c r="Z11" s="30"/>
      <c r="AA11" s="25"/>
    </row>
    <row r="12" spans="1:41" ht="12.75" customHeight="1" thickBot="1">
      <c r="B12" s="89" t="s">
        <v>19</v>
      </c>
      <c r="C12" s="90"/>
      <c r="D12" s="90"/>
      <c r="E12" s="90"/>
      <c r="F12" s="91"/>
      <c r="G12" s="52" t="str">
        <f>IF('TABLE (observations)'!AK10&lt;0,"",'TABLE (observations)'!AH10)</f>
        <v/>
      </c>
      <c r="H12" s="53"/>
      <c r="I12" s="54"/>
      <c r="J12" s="105" t="str">
        <f>IF('TABLE (observations)'!AK10&lt;0,"",INT(ABS('TABLE (observations)'!AK10)))</f>
        <v/>
      </c>
      <c r="K12" s="106"/>
      <c r="L12" s="63" t="str">
        <f>IF('TABLE (observations)'!AK10&lt;0,"",('TABLE (observations)'!AK10-J12)*60)</f>
        <v/>
      </c>
      <c r="M12" s="63"/>
      <c r="N12" s="33"/>
      <c r="P12" s="27"/>
      <c r="Q12" s="27"/>
      <c r="R12" s="27"/>
      <c r="S12" s="27"/>
      <c r="T12" s="27"/>
      <c r="U12" s="35"/>
      <c r="V12" s="35"/>
      <c r="W12" s="35"/>
      <c r="X12" s="35"/>
      <c r="Y12" s="27"/>
      <c r="Z12" s="30"/>
      <c r="AA12" s="25"/>
      <c r="AO12" s="21">
        <f>IF(AY35="S",-AS35-AV35/60,AS35+AV35/60)</f>
        <v>20.704999999999998</v>
      </c>
    </row>
    <row r="13" spans="1:41" ht="12.75" customHeight="1">
      <c r="B13" s="92" t="s">
        <v>20</v>
      </c>
      <c r="C13" s="93"/>
      <c r="D13" s="93"/>
      <c r="E13" s="93"/>
      <c r="F13" s="94"/>
      <c r="G13" s="52">
        <f>IF('TABLE (observations)'!AK11&lt;0,"",'TABLE (observations)'!AH11)</f>
        <v>170.05179613996901</v>
      </c>
      <c r="H13" s="53"/>
      <c r="I13" s="54"/>
      <c r="J13" s="105">
        <f>IF('TABLE (observations)'!AK11&lt;0,"",INT(ABS('TABLE (observations)'!AK11)))</f>
        <v>4</v>
      </c>
      <c r="K13" s="106"/>
      <c r="L13" s="63">
        <f>IF('TABLE (observations)'!AK11&lt;0,"",('TABLE (observations)'!AK11-J13)*60)</f>
        <v>15.5848284653643</v>
      </c>
      <c r="M13" s="63"/>
      <c r="N13" s="33"/>
      <c r="P13" s="64" t="str">
        <f>IF('TABLE (observations)'!K7=1,"GHA","GHA Aries")</f>
        <v>GHA</v>
      </c>
      <c r="Q13" s="65"/>
      <c r="R13" s="65"/>
      <c r="S13" s="65"/>
      <c r="T13" s="65"/>
      <c r="U13" s="68">
        <f>INT(AC14)</f>
        <v>231</v>
      </c>
      <c r="V13" s="68"/>
      <c r="W13" s="98">
        <f>(AC14-U13)*60</f>
        <v>21.805921003419826</v>
      </c>
      <c r="X13" s="98"/>
      <c r="Y13" s="37"/>
      <c r="Z13" s="30"/>
      <c r="AA13" s="25"/>
      <c r="AO13" s="21">
        <f>IF(AY37="W",-AS37-AV37/60,AS37+AV37/60)</f>
        <v>69.924999999999997</v>
      </c>
    </row>
    <row r="14" spans="1:41" ht="12.75" customHeight="1">
      <c r="B14" s="92" t="s">
        <v>21</v>
      </c>
      <c r="C14" s="93"/>
      <c r="D14" s="93"/>
      <c r="E14" s="93"/>
      <c r="F14" s="94"/>
      <c r="G14" s="52">
        <f>IF('TABLE (observations)'!AK12&lt;0,"",'TABLE (observations)'!AH12)</f>
        <v>230.98509094573822</v>
      </c>
      <c r="H14" s="53"/>
      <c r="I14" s="54"/>
      <c r="J14" s="105">
        <f>IF('TABLE (observations)'!AK12&lt;0,"",INT(ABS('TABLE (observations)'!AK12)))</f>
        <v>14</v>
      </c>
      <c r="K14" s="106"/>
      <c r="L14" s="63">
        <f>IF('TABLE (observations)'!AK12&lt;0,"",('TABLE (observations)'!AK12-J14)*60)</f>
        <v>7.3163214539838251</v>
      </c>
      <c r="M14" s="63"/>
      <c r="N14" s="33"/>
      <c r="P14" s="66" t="s">
        <v>6</v>
      </c>
      <c r="Q14" s="67"/>
      <c r="R14" s="67"/>
      <c r="S14" s="67"/>
      <c r="T14" s="67"/>
      <c r="U14" s="69">
        <f>INT(AC15)</f>
        <v>-216</v>
      </c>
      <c r="V14" s="69"/>
      <c r="W14" s="85">
        <f>(AC15-U14)*60</f>
        <v>49.745801803711629</v>
      </c>
      <c r="X14" s="85"/>
      <c r="Y14" s="38"/>
      <c r="Z14" s="30"/>
      <c r="AA14" s="25"/>
      <c r="AC14" s="21">
        <f>IF('TABLE (observations)'!K7=1,VLOOKUP(U7,'TABLE (observations)'!O7:S69,4,FALSE),'TABLE (observations)'!R70)</f>
        <v>231.36343201672366</v>
      </c>
    </row>
    <row r="15" spans="1:41" ht="12.75" customHeight="1">
      <c r="B15" s="92" t="s">
        <v>22</v>
      </c>
      <c r="C15" s="93"/>
      <c r="D15" s="93"/>
      <c r="E15" s="93"/>
      <c r="F15" s="94"/>
      <c r="G15" s="52">
        <f>IF('TABLE (observations)'!AK13&lt;0,"",'TABLE (observations)'!AH13)</f>
        <v>287.27184785399481</v>
      </c>
      <c r="H15" s="53"/>
      <c r="I15" s="54"/>
      <c r="J15" s="105">
        <f>IF('TABLE (observations)'!AK13&lt;0,"",INT(ABS('TABLE (observations)'!AK13)))</f>
        <v>1</v>
      </c>
      <c r="K15" s="106"/>
      <c r="L15" s="63">
        <f>IF('TABLE (observations)'!AK13&lt;0,"",('TABLE (observations)'!AK13-J15)*60)</f>
        <v>9.0035036202407515</v>
      </c>
      <c r="M15" s="63"/>
      <c r="N15" s="33"/>
      <c r="P15" s="66" t="str">
        <f>IF('TABLE (observations)'!K7=1,"GHA","GHA Aries")</f>
        <v>GHA</v>
      </c>
      <c r="Q15" s="67"/>
      <c r="R15" s="67"/>
      <c r="S15" s="67"/>
      <c r="T15" s="67"/>
      <c r="U15" s="69">
        <f>INT(AC16)</f>
        <v>16</v>
      </c>
      <c r="V15" s="69"/>
      <c r="W15" s="85">
        <f>(AC16-U15)*60</f>
        <v>11.551722807131455</v>
      </c>
      <c r="X15" s="85"/>
      <c r="Y15" s="38"/>
      <c r="Z15" s="30"/>
      <c r="AA15" s="25"/>
      <c r="AC15" s="21">
        <f>AC16-AC14</f>
        <v>-215.17090330327147</v>
      </c>
      <c r="AH15" s="39">
        <f>(U37+X37/60+AA37/3600)/24+U35</f>
        <v>43230.628009259257</v>
      </c>
      <c r="AI15" s="39">
        <f>AH15+5/24/60</f>
        <v>43230.631481481476</v>
      </c>
    </row>
    <row r="16" spans="1:41" ht="12.75" customHeight="1">
      <c r="B16" s="92" t="s">
        <v>23</v>
      </c>
      <c r="C16" s="93"/>
      <c r="D16" s="93"/>
      <c r="E16" s="93"/>
      <c r="F16" s="94"/>
      <c r="G16" s="52">
        <f>IF('TABLE (observations)'!AK14&lt;0,"",'TABLE (observations)'!AH14)</f>
        <v>24.615522973171355</v>
      </c>
      <c r="H16" s="53"/>
      <c r="I16" s="54"/>
      <c r="J16" s="105">
        <f>IF('TABLE (observations)'!AK14&lt;0,"",INT(ABS('TABLE (observations)'!AK14)))</f>
        <v>48</v>
      </c>
      <c r="K16" s="106"/>
      <c r="L16" s="63">
        <f>IF('TABLE (observations)'!AK14&lt;0,"",('TABLE (observations)'!AK14-J16)*60)</f>
        <v>35.660985329007389</v>
      </c>
      <c r="M16" s="63"/>
      <c r="N16" s="33"/>
      <c r="P16" s="66" t="s">
        <v>7</v>
      </c>
      <c r="Q16" s="67"/>
      <c r="R16" s="67"/>
      <c r="S16" s="67"/>
      <c r="T16" s="67"/>
      <c r="U16" s="69">
        <f>AS37</f>
        <v>69</v>
      </c>
      <c r="V16" s="69"/>
      <c r="W16" s="85">
        <f>AV37</f>
        <v>55.5</v>
      </c>
      <c r="X16" s="85"/>
      <c r="Y16" s="38" t="str">
        <f>AY37</f>
        <v>E</v>
      </c>
      <c r="Z16" s="30"/>
      <c r="AA16" s="25"/>
      <c r="AC16" s="21">
        <f>IF('TABLE (observations)'!K7=1,VLOOKUP(U7,'TABLE (observations)'!O7:S69,3,FALSE),'TABLE (observations)'!Q70)</f>
        <v>16.192528713452191</v>
      </c>
      <c r="AH16" s="39"/>
    </row>
    <row r="17" spans="2:68" ht="12.75" customHeight="1">
      <c r="B17" s="92" t="s">
        <v>24</v>
      </c>
      <c r="C17" s="93"/>
      <c r="D17" s="93"/>
      <c r="E17" s="93"/>
      <c r="F17" s="94"/>
      <c r="G17" s="52">
        <f>IF('TABLE (observations)'!AK15&lt;0,"",'TABLE (observations)'!AH15)</f>
        <v>39.460704501768241</v>
      </c>
      <c r="H17" s="53"/>
      <c r="I17" s="54"/>
      <c r="J17" s="105">
        <f>IF('TABLE (observations)'!AK15&lt;0,"",INT(ABS('TABLE (observations)'!AK15)))</f>
        <v>45</v>
      </c>
      <c r="K17" s="106"/>
      <c r="L17" s="63">
        <f>IF('TABLE (observations)'!AK15&lt;0,"",('TABLE (observations)'!AK15-J17)*60)</f>
        <v>44.738788383393171</v>
      </c>
      <c r="M17" s="63"/>
      <c r="N17" s="33"/>
      <c r="P17" s="66" t="str">
        <f>IF('TABLE (observations)'!K7=1,"LHA","LHA Aries")</f>
        <v>LHA</v>
      </c>
      <c r="Q17" s="67"/>
      <c r="R17" s="67"/>
      <c r="S17" s="67"/>
      <c r="T17" s="67"/>
      <c r="U17" s="69">
        <f>INT(AC18)</f>
        <v>86</v>
      </c>
      <c r="V17" s="69"/>
      <c r="W17" s="85">
        <f>(AC18-U17)*60</f>
        <v>7.0517228071312843</v>
      </c>
      <c r="X17" s="85"/>
      <c r="Y17" s="38"/>
      <c r="Z17" s="30"/>
      <c r="AA17" s="25"/>
      <c r="AC17" s="21">
        <f>AO13</f>
        <v>69.924999999999997</v>
      </c>
      <c r="AH17" s="21">
        <f>HOUR(AI15)</f>
        <v>15</v>
      </c>
      <c r="AI17" s="39">
        <f>MINUTE(AI15)</f>
        <v>9</v>
      </c>
      <c r="AJ17" s="21">
        <f>SECOND(AI15)</f>
        <v>20</v>
      </c>
    </row>
    <row r="18" spans="2:68" ht="12.75" customHeight="1">
      <c r="B18" s="92" t="s">
        <v>25</v>
      </c>
      <c r="C18" s="93"/>
      <c r="D18" s="93"/>
      <c r="E18" s="93"/>
      <c r="F18" s="94"/>
      <c r="G18" s="52" t="str">
        <f>IF('TABLE (observations)'!AK16&lt;0,"",'TABLE (observations)'!AH16)</f>
        <v/>
      </c>
      <c r="H18" s="53"/>
      <c r="I18" s="54"/>
      <c r="J18" s="105" t="str">
        <f>IF('TABLE (observations)'!AK16&lt;0,"",INT(ABS('TABLE (observations)'!AK16)))</f>
        <v/>
      </c>
      <c r="K18" s="106"/>
      <c r="L18" s="63" t="str">
        <f>IF('TABLE (observations)'!AK16&lt;0,"",('TABLE (observations)'!AK16-J18)*60)</f>
        <v/>
      </c>
      <c r="M18" s="63"/>
      <c r="N18" s="33"/>
      <c r="P18" s="66" t="str">
        <f>IF('TABLE (observations)'!K7=1,"","SHA")</f>
        <v/>
      </c>
      <c r="Q18" s="67"/>
      <c r="R18" s="67"/>
      <c r="S18" s="67"/>
      <c r="T18" s="67"/>
      <c r="U18" s="69" t="str">
        <f>IF('TABLE (observations)'!K7=1,"",INT(AC19))</f>
        <v/>
      </c>
      <c r="V18" s="69"/>
      <c r="W18" s="85" t="str">
        <f>IF('TABLE (observations)'!K7=1,"",(AC19-U18)*60)</f>
        <v/>
      </c>
      <c r="X18" s="85"/>
      <c r="Y18" s="38"/>
      <c r="Z18" s="30"/>
      <c r="AA18" s="25"/>
      <c r="AC18" s="21">
        <f>MOD(AC16+AC17,360)</f>
        <v>86.117528713452188</v>
      </c>
    </row>
    <row r="19" spans="2:68" ht="12.75" customHeight="1">
      <c r="B19" s="92" t="s">
        <v>26</v>
      </c>
      <c r="C19" s="93"/>
      <c r="D19" s="93"/>
      <c r="E19" s="93"/>
      <c r="F19" s="94"/>
      <c r="G19" s="52">
        <f>IF('TABLE (observations)'!AK17&lt;0,"",'TABLE (observations)'!AH17)</f>
        <v>265.34584265467203</v>
      </c>
      <c r="H19" s="53"/>
      <c r="I19" s="54"/>
      <c r="J19" s="105">
        <f>IF('TABLE (observations)'!AK17&lt;0,"",INT(ABS('TABLE (observations)'!AK17)))</f>
        <v>8</v>
      </c>
      <c r="K19" s="106"/>
      <c r="L19" s="63">
        <f>IF('TABLE (observations)'!AK17&lt;0,"",('TABLE (observations)'!AK17-J19)*60)</f>
        <v>50.333392887311064</v>
      </c>
      <c r="M19" s="63"/>
      <c r="N19" s="33"/>
      <c r="P19" s="66" t="s">
        <v>8</v>
      </c>
      <c r="Q19" s="67"/>
      <c r="R19" s="67"/>
      <c r="S19" s="67"/>
      <c r="T19" s="67"/>
      <c r="U19" s="69">
        <f>INT(AC20)</f>
        <v>86</v>
      </c>
      <c r="V19" s="69"/>
      <c r="W19" s="85">
        <f>(AC20-U19)*60</f>
        <v>7.0517228071312843</v>
      </c>
      <c r="X19" s="85"/>
      <c r="Y19" s="38" t="str">
        <f>IF(MOD(AC18+AC19,360)&gt;180,"E","W")</f>
        <v>W</v>
      </c>
      <c r="Z19" s="30"/>
      <c r="AA19" s="25"/>
      <c r="AC19" s="21">
        <f>IF('TABLE (observations)'!K7=1,0,VLOOKUP(U7,'TABLE (observations)'!B4:I60,8,FALSE))</f>
        <v>0</v>
      </c>
      <c r="AD19" s="21">
        <f>MOD(AC18+AC19,360)</f>
        <v>86.117528713452188</v>
      </c>
    </row>
    <row r="20" spans="2:68" ht="12.75" customHeight="1">
      <c r="B20" s="92" t="s">
        <v>27</v>
      </c>
      <c r="C20" s="93"/>
      <c r="D20" s="93"/>
      <c r="E20" s="93"/>
      <c r="F20" s="94"/>
      <c r="G20" s="52">
        <f>IF('TABLE (observations)'!AK18&lt;0,"",'TABLE (observations)'!AH18)</f>
        <v>218.78889749653939</v>
      </c>
      <c r="H20" s="53"/>
      <c r="I20" s="54"/>
      <c r="J20" s="105">
        <f>IF('TABLE (observations)'!AK18&lt;0,"",INT(ABS('TABLE (observations)'!AK18)))</f>
        <v>53</v>
      </c>
      <c r="K20" s="106"/>
      <c r="L20" s="63">
        <f>IF('TABLE (observations)'!AK18&lt;0,"",('TABLE (observations)'!AK18-J20)*60)</f>
        <v>19.378695515280526</v>
      </c>
      <c r="M20" s="63"/>
      <c r="N20" s="33"/>
      <c r="P20" s="66" t="s">
        <v>9</v>
      </c>
      <c r="Q20" s="67"/>
      <c r="R20" s="67"/>
      <c r="S20" s="67"/>
      <c r="T20" s="67"/>
      <c r="U20" s="69">
        <f>INT(ABS(AC22))</f>
        <v>12</v>
      </c>
      <c r="V20" s="69"/>
      <c r="W20" s="85">
        <f>(ABS(AC22)-U20)*60</f>
        <v>51.504007563007583</v>
      </c>
      <c r="X20" s="85"/>
      <c r="Y20" s="38" t="str">
        <f>IF(AC22&lt;0,"S","N")</f>
        <v>S</v>
      </c>
      <c r="Z20" s="30"/>
      <c r="AA20" s="25"/>
      <c r="AC20" s="21">
        <f>IF(AD19&gt;180,360-AD19,AD19)</f>
        <v>86.117528713452188</v>
      </c>
    </row>
    <row r="21" spans="2:68" ht="12.75" customHeight="1">
      <c r="B21" s="92" t="s">
        <v>28</v>
      </c>
      <c r="C21" s="93"/>
      <c r="D21" s="93"/>
      <c r="E21" s="93"/>
      <c r="F21" s="94"/>
      <c r="G21" s="52">
        <f>IF('TABLE (observations)'!AK19&lt;0,"",'TABLE (observations)'!AH19)</f>
        <v>69.736364263921161</v>
      </c>
      <c r="H21" s="53"/>
      <c r="I21" s="54"/>
      <c r="J21" s="105">
        <f>IF('TABLE (observations)'!AK19&lt;0,"",INT(ABS('TABLE (observations)'!AK19)))</f>
        <v>26</v>
      </c>
      <c r="K21" s="106"/>
      <c r="L21" s="63">
        <f>IF('TABLE (observations)'!AK19&lt;0,"",('TABLE (observations)'!AK19-J21)*60)</f>
        <v>48.187842460754027</v>
      </c>
      <c r="M21" s="63"/>
      <c r="N21" s="33"/>
      <c r="P21" s="66" t="s">
        <v>10</v>
      </c>
      <c r="Q21" s="67"/>
      <c r="R21" s="67"/>
      <c r="S21" s="67"/>
      <c r="T21" s="67"/>
      <c r="U21" s="69">
        <f>INT(ABS(AC23))</f>
        <v>37</v>
      </c>
      <c r="V21" s="69"/>
      <c r="W21" s="85">
        <f>(ABS(AC23)-U21)*60</f>
        <v>7.0073016254998777</v>
      </c>
      <c r="X21" s="85"/>
      <c r="Y21" s="38" t="str">
        <f>IF(AC23&lt;0,"S","N")</f>
        <v>N</v>
      </c>
      <c r="Z21" s="30"/>
      <c r="AA21" s="25"/>
    </row>
    <row r="22" spans="2:68" ht="12.75" customHeight="1" thickBot="1">
      <c r="B22" s="92" t="s">
        <v>29</v>
      </c>
      <c r="C22" s="93"/>
      <c r="D22" s="93"/>
      <c r="E22" s="93"/>
      <c r="F22" s="94"/>
      <c r="G22" s="52" t="str">
        <f>IF('TABLE (observations)'!AK20&lt;0,"",'TABLE (observations)'!AH20)</f>
        <v/>
      </c>
      <c r="H22" s="53"/>
      <c r="I22" s="54"/>
      <c r="J22" s="105" t="str">
        <f>IF('TABLE (observations)'!AK20&lt;0,"",INT(ABS('TABLE (observations)'!AK20)))</f>
        <v/>
      </c>
      <c r="K22" s="106"/>
      <c r="L22" s="63" t="str">
        <f>IF('TABLE (observations)'!AK20&lt;0,"",('TABLE (observations)'!AK20-J22)*60)</f>
        <v/>
      </c>
      <c r="M22" s="63"/>
      <c r="N22" s="33"/>
      <c r="P22" s="74" t="s">
        <v>9</v>
      </c>
      <c r="Q22" s="75"/>
      <c r="R22" s="75"/>
      <c r="S22" s="75"/>
      <c r="T22" s="75"/>
      <c r="U22" s="103">
        <f>INT(ABS(AC24))</f>
        <v>24</v>
      </c>
      <c r="V22" s="103"/>
      <c r="W22" s="102">
        <f>(ABS(AC24)-U22)*60</f>
        <v>15.503294062492401</v>
      </c>
      <c r="X22" s="102"/>
      <c r="Y22" s="40" t="str">
        <f>IF(AC24&lt;0,"S","N")</f>
        <v>N</v>
      </c>
      <c r="Z22" s="30"/>
      <c r="AA22" s="25"/>
      <c r="AC22" s="21">
        <f>IF('TABLE (observations)'!K7=1,VLOOKUP(U7,'TABLE (observations)'!O7:V69,7,FALSE),VLOOKUP(U7,'TABLE (observations)'!B4:J60,9,FALSE))</f>
        <v>-12.858400126050126</v>
      </c>
    </row>
    <row r="23" spans="2:68" ht="12.75" customHeight="1" thickBot="1">
      <c r="B23" s="92" t="s">
        <v>30</v>
      </c>
      <c r="C23" s="93"/>
      <c r="D23" s="93"/>
      <c r="E23" s="93"/>
      <c r="F23" s="94"/>
      <c r="G23" s="52" t="str">
        <f>IF('TABLE (observations)'!AK21&lt;0,"",'TABLE (observations)'!AH21)</f>
        <v/>
      </c>
      <c r="H23" s="53"/>
      <c r="I23" s="54"/>
      <c r="J23" s="105" t="str">
        <f>IF('TABLE (observations)'!AK21&lt;0,"",INT(ABS('TABLE (observations)'!AK21)))</f>
        <v/>
      </c>
      <c r="K23" s="106"/>
      <c r="L23" s="63" t="str">
        <f>IF('TABLE (observations)'!AK21&lt;0,"",('TABLE (observations)'!AK21-J23)*60)</f>
        <v/>
      </c>
      <c r="M23" s="63"/>
      <c r="N23" s="33"/>
      <c r="P23" s="27"/>
      <c r="Q23" s="27"/>
      <c r="R23" s="27"/>
      <c r="S23" s="27"/>
      <c r="T23" s="27"/>
      <c r="U23" s="35"/>
      <c r="V23" s="35"/>
      <c r="W23" s="35"/>
      <c r="X23" s="35"/>
      <c r="Y23" s="27"/>
      <c r="Z23" s="30"/>
      <c r="AA23" s="25"/>
      <c r="AC23" s="21">
        <f>AC24-AC22</f>
        <v>37.116788360424998</v>
      </c>
    </row>
    <row r="24" spans="2:68" ht="12.75" customHeight="1">
      <c r="B24" s="92" t="s">
        <v>31</v>
      </c>
      <c r="C24" s="93"/>
      <c r="D24" s="93"/>
      <c r="E24" s="93"/>
      <c r="F24" s="94"/>
      <c r="G24" s="52" t="str">
        <f>IF('TABLE (observations)'!AK22&lt;0,"",'TABLE (observations)'!AH22)</f>
        <v/>
      </c>
      <c r="H24" s="53"/>
      <c r="I24" s="54"/>
      <c r="J24" s="105" t="str">
        <f>IF('TABLE (observations)'!AK22&lt;0,"",INT(ABS('TABLE (observations)'!AK22)))</f>
        <v/>
      </c>
      <c r="K24" s="106"/>
      <c r="L24" s="63" t="str">
        <f>IF('TABLE (observations)'!AK22&lt;0,"",('TABLE (observations)'!AK22-J24)*60)</f>
        <v/>
      </c>
      <c r="M24" s="63"/>
      <c r="N24" s="33"/>
      <c r="P24" s="64" t="s">
        <v>11</v>
      </c>
      <c r="Q24" s="65"/>
      <c r="R24" s="65"/>
      <c r="S24" s="65"/>
      <c r="T24" s="65"/>
      <c r="U24" s="104">
        <f>ABS(AC27)</f>
        <v>2.565112144657012E-2</v>
      </c>
      <c r="V24" s="104"/>
      <c r="W24" s="99" t="str">
        <f>IF(AC27&lt;0,"S","N")</f>
        <v>S</v>
      </c>
      <c r="X24" s="99"/>
      <c r="Y24" s="37"/>
      <c r="Z24" s="30"/>
      <c r="AA24" s="25"/>
      <c r="AC24" s="21">
        <f>IF('TABLE (observations)'!K7=1,VLOOKUP(U7,'TABLE (observations)'!O7:V69,6,FALSE),VLOOKUP(U7,'TABLE (observations)'!B4:J60,9,FALSE))</f>
        <v>24.258388234374873</v>
      </c>
    </row>
    <row r="25" spans="2:68" ht="12.75" customHeight="1">
      <c r="B25" s="92" t="s">
        <v>32</v>
      </c>
      <c r="C25" s="93"/>
      <c r="D25" s="93"/>
      <c r="E25" s="93"/>
      <c r="F25" s="94"/>
      <c r="G25" s="52" t="str">
        <f>IF('TABLE (observations)'!AK23&lt;0,"",'TABLE (observations)'!AH23)</f>
        <v/>
      </c>
      <c r="H25" s="53"/>
      <c r="I25" s="54"/>
      <c r="J25" s="105" t="str">
        <f>IF('TABLE (observations)'!AK23&lt;0,"",INT(ABS('TABLE (observations)'!AK23)))</f>
        <v/>
      </c>
      <c r="K25" s="106"/>
      <c r="L25" s="63" t="str">
        <f>IF('TABLE (observations)'!AK23&lt;0,"",('TABLE (observations)'!AK23-J25)*60)</f>
        <v/>
      </c>
      <c r="M25" s="63"/>
      <c r="N25" s="33"/>
      <c r="P25" s="66" t="s">
        <v>12</v>
      </c>
      <c r="Q25" s="67"/>
      <c r="R25" s="67"/>
      <c r="S25" s="67"/>
      <c r="T25" s="67"/>
      <c r="U25" s="77">
        <f>ABS(AC28)</f>
        <v>0.45167986274135569</v>
      </c>
      <c r="V25" s="77"/>
      <c r="W25" s="100" t="str">
        <f>IF(AC28&lt;0,"S","N")</f>
        <v>N</v>
      </c>
      <c r="X25" s="100"/>
      <c r="Y25" s="38"/>
      <c r="Z25" s="30"/>
      <c r="AA25" s="25"/>
    </row>
    <row r="26" spans="2:68" ht="12.75" customHeight="1">
      <c r="B26" s="92" t="s">
        <v>33</v>
      </c>
      <c r="C26" s="93"/>
      <c r="D26" s="93"/>
      <c r="E26" s="93"/>
      <c r="F26" s="94"/>
      <c r="G26" s="52">
        <f>IF('TABLE (observations)'!AK24&lt;0,"",'TABLE (observations)'!AH24)</f>
        <v>82.862021675413303</v>
      </c>
      <c r="H26" s="53"/>
      <c r="I26" s="54"/>
      <c r="J26" s="105">
        <f>IF('TABLE (observations)'!AK24&lt;0,"",INT(ABS('TABLE (observations)'!AK24)))</f>
        <v>43</v>
      </c>
      <c r="K26" s="106"/>
      <c r="L26" s="63">
        <f>IF('TABLE (observations)'!AK24&lt;0,"",('TABLE (observations)'!AK24-J26)*60)</f>
        <v>21.131600887959507</v>
      </c>
      <c r="M26" s="63"/>
      <c r="N26" s="33"/>
      <c r="P26" s="66" t="s">
        <v>13</v>
      </c>
      <c r="Q26" s="67"/>
      <c r="R26" s="67"/>
      <c r="S26" s="67"/>
      <c r="T26" s="67"/>
      <c r="U26" s="77">
        <f>ABS(AC29)</f>
        <v>0.42602874129478557</v>
      </c>
      <c r="V26" s="77"/>
      <c r="W26" s="100" t="str">
        <f>IF(AC29&lt;0,"S","N")</f>
        <v>N</v>
      </c>
      <c r="X26" s="100"/>
      <c r="Y26" s="38"/>
      <c r="Z26" s="30"/>
      <c r="AA26" s="25"/>
      <c r="AC26" s="21">
        <f>IF(AD19&gt;90,IF(AD19&lt;270,1,0),0)</f>
        <v>0</v>
      </c>
      <c r="AD26" s="21">
        <f>ABS(TAN(RADIANS(ABS(AO12)))/TAN(RADIANS(ABS(AC20))))</f>
        <v>2.565112144657012E-2</v>
      </c>
      <c r="AR26" s="27"/>
      <c r="AS26" s="27"/>
      <c r="AT26" s="27"/>
      <c r="AU26" s="27"/>
      <c r="AV26" s="27"/>
      <c r="AW26" s="27"/>
    </row>
    <row r="27" spans="2:68" ht="12.75" customHeight="1" thickBot="1">
      <c r="B27" s="92" t="s">
        <v>34</v>
      </c>
      <c r="C27" s="93"/>
      <c r="D27" s="93"/>
      <c r="E27" s="93"/>
      <c r="F27" s="94"/>
      <c r="G27" s="52" t="str">
        <f>IF('TABLE (observations)'!AK25&lt;0,"",'TABLE (observations)'!AH25)</f>
        <v/>
      </c>
      <c r="H27" s="53"/>
      <c r="I27" s="54"/>
      <c r="J27" s="105" t="str">
        <f>IF('TABLE (observations)'!AK25&lt;0,"",INT(ABS('TABLE (observations)'!AK25)))</f>
        <v/>
      </c>
      <c r="K27" s="106"/>
      <c r="L27" s="63" t="str">
        <f>IF('TABLE (observations)'!AK25&lt;0,"",('TABLE (observations)'!AK25-J27)*60)</f>
        <v/>
      </c>
      <c r="M27" s="63"/>
      <c r="N27" s="33"/>
      <c r="P27" s="74" t="s">
        <v>14</v>
      </c>
      <c r="Q27" s="75"/>
      <c r="R27" s="75"/>
      <c r="S27" s="75"/>
      <c r="T27" s="75"/>
      <c r="U27" s="41" t="str">
        <f>W26</f>
        <v>N</v>
      </c>
      <c r="V27" s="101">
        <f>AC30</f>
        <v>68.272080360254648</v>
      </c>
      <c r="W27" s="101"/>
      <c r="X27" s="41" t="str">
        <f>Y19</f>
        <v>W</v>
      </c>
      <c r="Y27" s="40"/>
      <c r="Z27" s="30"/>
      <c r="AA27" s="25"/>
      <c r="AC27" s="21">
        <f>IF(AC26=0,IF(AY35="N",-AD26,AD26),IF(AY35="N",AD26,-AD26))</f>
        <v>-2.565112144657012E-2</v>
      </c>
      <c r="AR27" s="27"/>
      <c r="AS27" s="27"/>
      <c r="AT27" s="27"/>
      <c r="AU27" s="27"/>
      <c r="AV27" s="27"/>
      <c r="AW27" s="27"/>
    </row>
    <row r="28" spans="2:68" ht="12.75" customHeight="1">
      <c r="B28" s="92" t="s">
        <v>35</v>
      </c>
      <c r="C28" s="93"/>
      <c r="D28" s="93"/>
      <c r="E28" s="93"/>
      <c r="F28" s="94"/>
      <c r="G28" s="52">
        <f>IF('TABLE (observations)'!AK26&lt;0,"",'TABLE (observations)'!AH26)</f>
        <v>198.43467862783547</v>
      </c>
      <c r="H28" s="53"/>
      <c r="I28" s="54"/>
      <c r="J28" s="105">
        <f>IF('TABLE (observations)'!AK26&lt;0,"",INT(ABS('TABLE (observations)'!AK26)))</f>
        <v>3</v>
      </c>
      <c r="K28" s="106"/>
      <c r="L28" s="63">
        <f>IF('TABLE (observations)'!AK26&lt;0,"",('TABLE (observations)'!AK26-J28)*60)</f>
        <v>46.270154700392531</v>
      </c>
      <c r="M28" s="63"/>
      <c r="N28" s="33"/>
      <c r="P28" s="27"/>
      <c r="Q28" s="27"/>
      <c r="R28" s="27"/>
      <c r="S28" s="27"/>
      <c r="T28" s="27"/>
      <c r="U28" s="35"/>
      <c r="V28" s="35"/>
      <c r="W28" s="35"/>
      <c r="X28" s="35"/>
      <c r="Y28" s="27"/>
      <c r="Z28" s="30"/>
      <c r="AA28" s="25"/>
      <c r="AC28" s="21">
        <f>IF(Y22="N",ABS(TAN(RADIANS(AC24))/SIN(RADIANS(AD19))),-ABS(TAN(RADIANS(AC24))/SIN(RADIANS(AD19))))</f>
        <v>0.45167986274135569</v>
      </c>
      <c r="AR28" s="27"/>
      <c r="AS28" s="27"/>
      <c r="AT28" s="27"/>
      <c r="AU28" s="42"/>
      <c r="AV28" s="27"/>
      <c r="AW28" s="27"/>
    </row>
    <row r="29" spans="2:68" ht="12.75" customHeight="1">
      <c r="B29" s="92" t="s">
        <v>36</v>
      </c>
      <c r="C29" s="93"/>
      <c r="D29" s="93"/>
      <c r="E29" s="93"/>
      <c r="F29" s="94"/>
      <c r="G29" s="52">
        <f>IF('TABLE (observations)'!AK27&lt;0,"",'TABLE (observations)'!AH27)</f>
        <v>273.48179416829606</v>
      </c>
      <c r="H29" s="53"/>
      <c r="I29" s="54"/>
      <c r="J29" s="105">
        <f>IF('TABLE (observations)'!AK27&lt;0,"",INT(ABS('TABLE (observations)'!AK27)))</f>
        <v>8</v>
      </c>
      <c r="K29" s="106"/>
      <c r="L29" s="63">
        <f>IF('TABLE (observations)'!AK27&lt;0,"",('TABLE (observations)'!AK27-J29)*60)</f>
        <v>54.162050617166209</v>
      </c>
      <c r="M29" s="63"/>
      <c r="N29" s="33"/>
      <c r="Z29" s="43"/>
      <c r="AA29" s="44"/>
      <c r="AC29" s="21">
        <f>AC27+AC28</f>
        <v>0.42602874129478557</v>
      </c>
      <c r="AR29" s="27"/>
      <c r="AS29" s="27"/>
      <c r="AT29" s="27"/>
      <c r="AU29" s="27"/>
      <c r="AV29" s="27"/>
      <c r="AW29" s="27"/>
    </row>
    <row r="30" spans="2:68" ht="12.75" customHeight="1">
      <c r="B30" s="92" t="s">
        <v>37</v>
      </c>
      <c r="C30" s="93"/>
      <c r="D30" s="93"/>
      <c r="E30" s="93"/>
      <c r="F30" s="94"/>
      <c r="G30" s="52">
        <f>IF('TABLE (observations)'!AK28&lt;0,"",'TABLE (observations)'!AH28)</f>
        <v>271.90395548892474</v>
      </c>
      <c r="H30" s="53"/>
      <c r="I30" s="54"/>
      <c r="J30" s="105">
        <f>IF('TABLE (observations)'!AK28&lt;0,"",INT(ABS('TABLE (observations)'!AK28)))</f>
        <v>16</v>
      </c>
      <c r="K30" s="106"/>
      <c r="L30" s="63">
        <f>IF('TABLE (observations)'!AK28&lt;0,"",('TABLE (observations)'!AK28-J30)*60)</f>
        <v>16.492318570950388</v>
      </c>
      <c r="M30" s="63"/>
      <c r="N30" s="33"/>
      <c r="Z30" s="45"/>
      <c r="AA30" s="36"/>
      <c r="AC30" s="21">
        <f>ABS(DEGREES(ATAN(1/(COS(RADIANS(ABS(AO12)))*AC29))))</f>
        <v>68.272080360254648</v>
      </c>
    </row>
    <row r="31" spans="2:68" ht="12.75" customHeight="1">
      <c r="B31" s="92" t="s">
        <v>38</v>
      </c>
      <c r="C31" s="93"/>
      <c r="D31" s="93"/>
      <c r="E31" s="93"/>
      <c r="F31" s="94"/>
      <c r="G31" s="52" t="str">
        <f>IF('TABLE (observations)'!AK29&lt;0,"",'TABLE (observations)'!AH29)</f>
        <v/>
      </c>
      <c r="H31" s="53"/>
      <c r="I31" s="54"/>
      <c r="J31" s="105" t="str">
        <f>IF('TABLE (observations)'!AK29&lt;0,"",INT(ABS('TABLE (observations)'!AK29)))</f>
        <v/>
      </c>
      <c r="K31" s="106"/>
      <c r="L31" s="63" t="str">
        <f>IF('TABLE (observations)'!AK29&lt;0,"",('TABLE (observations)'!AK29-J31)*60)</f>
        <v/>
      </c>
      <c r="M31" s="63"/>
      <c r="N31" s="33"/>
      <c r="Z31" s="45"/>
      <c r="AA31" s="36"/>
      <c r="AC31" s="21">
        <f>IF(W26="S",IF(Y19="W",180+AC30,180-AC30),IF(Y19="W",360-AC30,AC30))</f>
        <v>291.72791963974532</v>
      </c>
    </row>
    <row r="32" spans="2:68" ht="12.75" customHeight="1">
      <c r="B32" s="92" t="s">
        <v>39</v>
      </c>
      <c r="C32" s="93"/>
      <c r="D32" s="93"/>
      <c r="E32" s="93"/>
      <c r="F32" s="94"/>
      <c r="G32" s="52">
        <f>IF('TABLE (observations)'!AK30&lt;0,"",'TABLE (observations)'!AH30)</f>
        <v>313.28380283799851</v>
      </c>
      <c r="H32" s="53"/>
      <c r="I32" s="54"/>
      <c r="J32" s="105">
        <f>IF('TABLE (observations)'!AK30&lt;0,"",INT(ABS('TABLE (observations)'!AK30)))</f>
        <v>18</v>
      </c>
      <c r="K32" s="106"/>
      <c r="L32" s="63">
        <f>IF('TABLE (observations)'!AK30&lt;0,"",('TABLE (observations)'!AK30-J32)*60)</f>
        <v>8.8877142016482225</v>
      </c>
      <c r="M32" s="63"/>
      <c r="N32" s="33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</row>
    <row r="33" spans="2:69" s="47" customFormat="1" ht="12.75" customHeight="1">
      <c r="B33" s="92" t="s">
        <v>40</v>
      </c>
      <c r="C33" s="93"/>
      <c r="D33" s="93"/>
      <c r="E33" s="93"/>
      <c r="F33" s="94"/>
      <c r="G33" s="52" t="str">
        <f>IF('TABLE (observations)'!AK31&lt;0,"",'TABLE (observations)'!AH31)</f>
        <v/>
      </c>
      <c r="H33" s="53"/>
      <c r="I33" s="54"/>
      <c r="J33" s="105" t="str">
        <f>IF('TABLE (observations)'!AK31&lt;0,"",INT(ABS('TABLE (observations)'!AK31)))</f>
        <v/>
      </c>
      <c r="K33" s="106"/>
      <c r="L33" s="63" t="str">
        <f>IF('TABLE (observations)'!AK31&lt;0,"",('TABLE (observations)'!AK31-J33)*60)</f>
        <v/>
      </c>
      <c r="M33" s="63"/>
      <c r="N33" s="33"/>
      <c r="O33" s="21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</row>
    <row r="34" spans="2:69" ht="12.75" customHeight="1">
      <c r="B34" s="92" t="s">
        <v>41</v>
      </c>
      <c r="C34" s="93"/>
      <c r="D34" s="93"/>
      <c r="E34" s="93"/>
      <c r="F34" s="94"/>
      <c r="G34" s="52">
        <f>IF('TABLE (observations)'!AK32&lt;0,"",'TABLE (observations)'!AH32)</f>
        <v>114.38992753218862</v>
      </c>
      <c r="H34" s="53"/>
      <c r="I34" s="54"/>
      <c r="J34" s="105">
        <f>IF('TABLE (observations)'!AK32&lt;0,"",INT(ABS('TABLE (observations)'!AK32)))</f>
        <v>76</v>
      </c>
      <c r="K34" s="106"/>
      <c r="L34" s="63">
        <f>IF('TABLE (observations)'!AK32&lt;0,"",('TABLE (observations)'!AK32-J34)*60)</f>
        <v>1.7850378707612435</v>
      </c>
      <c r="M34" s="63"/>
      <c r="N34" s="33"/>
      <c r="Z34" s="21"/>
      <c r="AA34" s="21"/>
    </row>
    <row r="35" spans="2:69" ht="12.75" customHeight="1">
      <c r="B35" s="92" t="s">
        <v>42</v>
      </c>
      <c r="C35" s="93"/>
      <c r="D35" s="93"/>
      <c r="E35" s="93"/>
      <c r="F35" s="94"/>
      <c r="G35" s="52" t="str">
        <f>IF('TABLE (observations)'!AK33&lt;0,"",'TABLE (observations)'!AH33)</f>
        <v/>
      </c>
      <c r="H35" s="53"/>
      <c r="I35" s="54"/>
      <c r="J35" s="105" t="str">
        <f>IF('TABLE (observations)'!AK33&lt;0,"",INT(ABS('TABLE (observations)'!AK33)))</f>
        <v/>
      </c>
      <c r="K35" s="106"/>
      <c r="L35" s="63" t="str">
        <f>IF('TABLE (observations)'!AK33&lt;0,"",('TABLE (observations)'!AK33-J35)*60)</f>
        <v/>
      </c>
      <c r="M35" s="63"/>
      <c r="N35" s="33"/>
      <c r="O35" s="47"/>
      <c r="P35" s="82" t="s">
        <v>209</v>
      </c>
      <c r="Q35" s="83"/>
      <c r="R35" s="83"/>
      <c r="S35" s="83"/>
      <c r="T35" s="84"/>
      <c r="U35" s="148">
        <v>43230</v>
      </c>
      <c r="V35" s="148"/>
      <c r="W35" s="148"/>
      <c r="X35" s="148"/>
      <c r="Y35" s="148"/>
      <c r="Z35" s="148"/>
      <c r="AA35" s="148"/>
      <c r="AB35" s="148"/>
      <c r="AC35" s="149"/>
      <c r="AL35" s="22"/>
      <c r="AN35" s="138" t="s">
        <v>0</v>
      </c>
      <c r="AO35" s="139"/>
      <c r="AP35" s="139"/>
      <c r="AQ35" s="139"/>
      <c r="AR35" s="140"/>
      <c r="AS35" s="157">
        <v>20</v>
      </c>
      <c r="AT35" s="157"/>
      <c r="AU35" s="157"/>
      <c r="AV35" s="151">
        <v>42.3</v>
      </c>
      <c r="AW35" s="151"/>
      <c r="AX35" s="151"/>
      <c r="AY35" s="153" t="s">
        <v>193</v>
      </c>
      <c r="AZ35" s="154"/>
    </row>
    <row r="36" spans="2:69" ht="12.75" customHeight="1">
      <c r="B36" s="92" t="s">
        <v>43</v>
      </c>
      <c r="C36" s="93"/>
      <c r="D36" s="93"/>
      <c r="E36" s="93"/>
      <c r="F36" s="94"/>
      <c r="G36" s="52">
        <f>IF('TABLE (observations)'!AK34&lt;0,"",'TABLE (observations)'!AH34)</f>
        <v>1.3235542006016421</v>
      </c>
      <c r="H36" s="53"/>
      <c r="I36" s="54"/>
      <c r="J36" s="105">
        <f>IF('TABLE (observations)'!AK34&lt;0,"",INT(ABS('TABLE (observations)'!AK34)))</f>
        <v>49</v>
      </c>
      <c r="K36" s="106"/>
      <c r="L36" s="63">
        <f>IF('TABLE (observations)'!AK34&lt;0,"",('TABLE (observations)'!AK34-J36)*60)</f>
        <v>2.3338329552436221</v>
      </c>
      <c r="M36" s="63"/>
      <c r="N36" s="33"/>
      <c r="P36" s="82"/>
      <c r="Q36" s="83"/>
      <c r="R36" s="83"/>
      <c r="S36" s="83"/>
      <c r="T36" s="84"/>
      <c r="U36" s="148"/>
      <c r="V36" s="148"/>
      <c r="W36" s="148"/>
      <c r="X36" s="148"/>
      <c r="Y36" s="148"/>
      <c r="Z36" s="148"/>
      <c r="AA36" s="148"/>
      <c r="AB36" s="148"/>
      <c r="AC36" s="149"/>
      <c r="AN36" s="141"/>
      <c r="AO36" s="142"/>
      <c r="AP36" s="142"/>
      <c r="AQ36" s="142"/>
      <c r="AR36" s="143"/>
      <c r="AS36" s="158"/>
      <c r="AT36" s="158"/>
      <c r="AU36" s="158"/>
      <c r="AV36" s="152"/>
      <c r="AW36" s="152"/>
      <c r="AX36" s="152"/>
      <c r="AY36" s="155"/>
      <c r="AZ36" s="156"/>
    </row>
    <row r="37" spans="2:69" ht="12.75" customHeight="1">
      <c r="B37" s="92" t="s">
        <v>44</v>
      </c>
      <c r="C37" s="93"/>
      <c r="D37" s="93"/>
      <c r="E37" s="93"/>
      <c r="F37" s="94"/>
      <c r="G37" s="52">
        <f>IF('TABLE (observations)'!AK35&lt;0,"",'TABLE (observations)'!AH35)</f>
        <v>295.10976809778299</v>
      </c>
      <c r="H37" s="53"/>
      <c r="I37" s="54"/>
      <c r="J37" s="105">
        <f>IF('TABLE (observations)'!AK35&lt;0,"",INT(ABS('TABLE (observations)'!AK35)))</f>
        <v>15</v>
      </c>
      <c r="K37" s="106"/>
      <c r="L37" s="63">
        <f>IF('TABLE (observations)'!AK35&lt;0,"",('TABLE (observations)'!AK35-J37)*60)</f>
        <v>59.99247187284432</v>
      </c>
      <c r="M37" s="63"/>
      <c r="N37" s="33"/>
      <c r="P37" s="82" t="s">
        <v>3</v>
      </c>
      <c r="Q37" s="83"/>
      <c r="R37" s="83"/>
      <c r="S37" s="83"/>
      <c r="T37" s="84"/>
      <c r="U37" s="147">
        <v>15</v>
      </c>
      <c r="V37" s="147"/>
      <c r="W37" s="147"/>
      <c r="X37" s="135">
        <v>4</v>
      </c>
      <c r="Y37" s="135"/>
      <c r="Z37" s="135"/>
      <c r="AA37" s="136">
        <v>20</v>
      </c>
      <c r="AB37" s="136"/>
      <c r="AC37" s="137"/>
      <c r="AN37" s="144" t="s">
        <v>1</v>
      </c>
      <c r="AO37" s="145"/>
      <c r="AP37" s="145"/>
      <c r="AQ37" s="145"/>
      <c r="AR37" s="146"/>
      <c r="AS37" s="150">
        <v>69</v>
      </c>
      <c r="AT37" s="150"/>
      <c r="AU37" s="150"/>
      <c r="AV37" s="152">
        <v>55.5</v>
      </c>
      <c r="AW37" s="152"/>
      <c r="AX37" s="152"/>
      <c r="AY37" s="156" t="s">
        <v>2</v>
      </c>
      <c r="AZ37" s="156"/>
    </row>
    <row r="38" spans="2:69" ht="12.75" customHeight="1">
      <c r="B38" s="92" t="s">
        <v>45</v>
      </c>
      <c r="C38" s="93"/>
      <c r="D38" s="93"/>
      <c r="E38" s="93"/>
      <c r="F38" s="94"/>
      <c r="G38" s="52">
        <f>IF('TABLE (observations)'!AK36&lt;0,"",'TABLE (observations)'!AH36)</f>
        <v>37.313148622982489</v>
      </c>
      <c r="H38" s="53"/>
      <c r="I38" s="54"/>
      <c r="J38" s="105">
        <f>IF('TABLE (observations)'!AK36&lt;0,"",INT(ABS('TABLE (observations)'!AK36)))</f>
        <v>7</v>
      </c>
      <c r="K38" s="106"/>
      <c r="L38" s="63">
        <f>IF('TABLE (observations)'!AK36&lt;0,"",('TABLE (observations)'!AK36-J38)*60)</f>
        <v>12.600951860225571</v>
      </c>
      <c r="M38" s="63"/>
      <c r="N38" s="33"/>
      <c r="P38" s="82"/>
      <c r="Q38" s="83"/>
      <c r="R38" s="83"/>
      <c r="S38" s="83"/>
      <c r="T38" s="84"/>
      <c r="U38" s="147"/>
      <c r="V38" s="147"/>
      <c r="W38" s="147"/>
      <c r="X38" s="135"/>
      <c r="Y38" s="135"/>
      <c r="Z38" s="135"/>
      <c r="AA38" s="136"/>
      <c r="AB38" s="136"/>
      <c r="AC38" s="137"/>
      <c r="AN38" s="141"/>
      <c r="AO38" s="142"/>
      <c r="AP38" s="142"/>
      <c r="AQ38" s="142"/>
      <c r="AR38" s="143"/>
      <c r="AS38" s="150"/>
      <c r="AT38" s="150"/>
      <c r="AU38" s="150"/>
      <c r="AV38" s="152"/>
      <c r="AW38" s="152"/>
      <c r="AX38" s="152"/>
      <c r="AY38" s="156"/>
      <c r="AZ38" s="156"/>
    </row>
    <row r="39" spans="2:69" ht="12.75" customHeight="1">
      <c r="B39" s="92" t="s">
        <v>46</v>
      </c>
      <c r="C39" s="93"/>
      <c r="D39" s="93"/>
      <c r="E39" s="93"/>
      <c r="F39" s="94"/>
      <c r="G39" s="52" t="str">
        <f>IF('TABLE (observations)'!AK37&lt;0,"",'TABLE (observations)'!AH37)</f>
        <v/>
      </c>
      <c r="H39" s="53"/>
      <c r="I39" s="54"/>
      <c r="J39" s="105" t="str">
        <f>IF('TABLE (observations)'!AK37&lt;0,"",INT(ABS('TABLE (observations)'!AK37)))</f>
        <v/>
      </c>
      <c r="K39" s="106"/>
      <c r="L39" s="63" t="str">
        <f>IF('TABLE (observations)'!AK37&lt;0,"",('TABLE (observations)'!AK37-J39)*60)</f>
        <v/>
      </c>
      <c r="M39" s="63"/>
      <c r="N39" s="33"/>
      <c r="Z39" s="21"/>
      <c r="AA39" s="21"/>
    </row>
    <row r="40" spans="2:69" ht="12.75" customHeight="1">
      <c r="B40" s="92" t="s">
        <v>47</v>
      </c>
      <c r="C40" s="93"/>
      <c r="D40" s="93"/>
      <c r="E40" s="93"/>
      <c r="F40" s="94"/>
      <c r="G40" s="52" t="str">
        <f>IF('TABLE (observations)'!AK38&lt;0,"",'TABLE (observations)'!AH38)</f>
        <v/>
      </c>
      <c r="H40" s="53"/>
      <c r="I40" s="54"/>
      <c r="J40" s="105" t="str">
        <f>IF('TABLE (observations)'!AK38&lt;0,"",INT(ABS('TABLE (observations)'!AK38)))</f>
        <v/>
      </c>
      <c r="K40" s="106"/>
      <c r="L40" s="63" t="str">
        <f>IF('TABLE (observations)'!AK38&lt;0,"",('TABLE (observations)'!AK38-J40)*60)</f>
        <v/>
      </c>
      <c r="M40" s="63"/>
      <c r="N40" s="33"/>
      <c r="P40" s="159" t="s">
        <v>210</v>
      </c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 t="s">
        <v>211</v>
      </c>
      <c r="AC40" s="159"/>
      <c r="AD40" s="159"/>
      <c r="AE40" s="159"/>
      <c r="AF40" s="159"/>
      <c r="AG40" s="159"/>
      <c r="AH40" s="159"/>
      <c r="AI40" s="159"/>
      <c r="AJ40" s="159"/>
      <c r="AK40" s="159"/>
      <c r="AL40" s="159"/>
      <c r="AM40" s="159"/>
      <c r="AN40" s="159" t="s">
        <v>212</v>
      </c>
      <c r="AO40" s="159"/>
      <c r="AP40" s="159"/>
      <c r="AQ40" s="159"/>
      <c r="AR40" s="159"/>
      <c r="AS40" s="159" t="s">
        <v>213</v>
      </c>
      <c r="AT40" s="159"/>
      <c r="AU40" s="159"/>
      <c r="AV40" s="159"/>
      <c r="AW40" s="159"/>
      <c r="AX40" s="159"/>
      <c r="AY40" s="159"/>
      <c r="AZ40" s="159"/>
      <c r="BA40" s="159"/>
      <c r="BB40" s="159"/>
      <c r="BC40" s="159"/>
      <c r="BD40" s="159"/>
      <c r="BE40" s="159" t="s">
        <v>214</v>
      </c>
      <c r="BF40" s="159"/>
      <c r="BG40" s="159"/>
      <c r="BH40" s="159"/>
      <c r="BI40" s="159" t="s">
        <v>215</v>
      </c>
      <c r="BJ40" s="159"/>
      <c r="BK40" s="159"/>
      <c r="BL40" s="159"/>
      <c r="BM40" s="159"/>
      <c r="BN40" s="159"/>
      <c r="BO40" s="159"/>
      <c r="BP40" s="159"/>
    </row>
    <row r="41" spans="2:69" ht="12.75" customHeight="1">
      <c r="B41" s="92" t="s">
        <v>48</v>
      </c>
      <c r="C41" s="93"/>
      <c r="D41" s="93"/>
      <c r="E41" s="93"/>
      <c r="F41" s="94"/>
      <c r="G41" s="52">
        <f>IF('TABLE (observations)'!AK39&lt;0,"",'TABLE (observations)'!AH39)</f>
        <v>167.29122331820653</v>
      </c>
      <c r="H41" s="53"/>
      <c r="I41" s="54"/>
      <c r="J41" s="105">
        <f>IF('TABLE (observations)'!AK39&lt;0,"",INT(ABS('TABLE (observations)'!AK39)))</f>
        <v>9</v>
      </c>
      <c r="K41" s="106"/>
      <c r="L41" s="63">
        <f>IF('TABLE (observations)'!AK39&lt;0,"",('TABLE (observations)'!AK39-J41)*60)</f>
        <v>36.702450986852817</v>
      </c>
      <c r="M41" s="63"/>
      <c r="N41" s="33"/>
      <c r="P41" s="160" t="s">
        <v>216</v>
      </c>
      <c r="Q41" s="160"/>
      <c r="R41" s="160"/>
      <c r="S41" s="160"/>
      <c r="T41" s="160" t="s">
        <v>217</v>
      </c>
      <c r="U41" s="160"/>
      <c r="V41" s="160"/>
      <c r="W41" s="160"/>
      <c r="X41" s="160" t="s">
        <v>218</v>
      </c>
      <c r="Y41" s="160"/>
      <c r="Z41" s="160"/>
      <c r="AA41" s="160"/>
      <c r="AB41" s="160" t="s">
        <v>219</v>
      </c>
      <c r="AC41" s="160"/>
      <c r="AD41" s="160"/>
      <c r="AE41" s="160"/>
      <c r="AF41" s="160" t="s">
        <v>216</v>
      </c>
      <c r="AG41" s="160"/>
      <c r="AH41" s="160"/>
      <c r="AI41" s="160"/>
      <c r="AJ41" s="160" t="s">
        <v>217</v>
      </c>
      <c r="AK41" s="160"/>
      <c r="AL41" s="160"/>
      <c r="AM41" s="160"/>
      <c r="AN41" s="160"/>
      <c r="AO41" s="160"/>
      <c r="AP41" s="160"/>
      <c r="AQ41" s="160"/>
      <c r="AR41" s="160"/>
      <c r="AS41" s="160" t="s">
        <v>216</v>
      </c>
      <c r="AT41" s="160"/>
      <c r="AU41" s="160"/>
      <c r="AV41" s="160"/>
      <c r="AW41" s="160" t="s">
        <v>217</v>
      </c>
      <c r="AX41" s="160"/>
      <c r="AY41" s="160"/>
      <c r="AZ41" s="160"/>
      <c r="BA41" s="160" t="s">
        <v>218</v>
      </c>
      <c r="BB41" s="160"/>
      <c r="BC41" s="160"/>
      <c r="BD41" s="160"/>
      <c r="BE41" s="160"/>
      <c r="BF41" s="160"/>
      <c r="BG41" s="160"/>
      <c r="BH41" s="160"/>
      <c r="BI41" s="160" t="s">
        <v>217</v>
      </c>
      <c r="BJ41" s="160"/>
      <c r="BK41" s="160"/>
      <c r="BL41" s="160"/>
      <c r="BM41" s="160" t="s">
        <v>218</v>
      </c>
      <c r="BN41" s="160"/>
      <c r="BO41" s="160"/>
      <c r="BP41" s="160"/>
      <c r="BQ41" s="25"/>
    </row>
    <row r="42" spans="2:69" ht="12.75" customHeight="1">
      <c r="B42" s="92" t="s">
        <v>49</v>
      </c>
      <c r="C42" s="93"/>
      <c r="D42" s="93"/>
      <c r="E42" s="93"/>
      <c r="F42" s="94"/>
      <c r="G42" s="52">
        <f>IF('TABLE (observations)'!AK40&lt;0,"",'TABLE (observations)'!AH40)</f>
        <v>151.73902010292377</v>
      </c>
      <c r="H42" s="53"/>
      <c r="I42" s="54"/>
      <c r="J42" s="105">
        <f>IF('TABLE (observations)'!AK40&lt;0,"",INT(ABS('TABLE (observations)'!AK40)))</f>
        <v>47</v>
      </c>
      <c r="K42" s="106"/>
      <c r="L42" s="63">
        <f>IF('TABLE (observations)'!AK40&lt;0,"",('TABLE (observations)'!AK40-J42)*60)</f>
        <v>1.1042050791046165</v>
      </c>
      <c r="M42" s="63"/>
      <c r="N42" s="33"/>
      <c r="P42" s="73">
        <v>289</v>
      </c>
      <c r="Q42" s="73"/>
      <c r="R42" s="73"/>
      <c r="S42" s="73"/>
      <c r="T42" s="73">
        <v>289</v>
      </c>
      <c r="U42" s="73"/>
      <c r="V42" s="73"/>
      <c r="W42" s="73"/>
      <c r="X42" s="76">
        <f>P42+AS42</f>
        <v>288.72791963974532</v>
      </c>
      <c r="Y42" s="76"/>
      <c r="Z42" s="76"/>
      <c r="AA42" s="76"/>
      <c r="AB42" s="76">
        <f>AC31</f>
        <v>291.72791963974532</v>
      </c>
      <c r="AC42" s="76"/>
      <c r="AD42" s="76"/>
      <c r="AE42" s="76"/>
      <c r="AF42" s="73">
        <v>292</v>
      </c>
      <c r="AG42" s="73"/>
      <c r="AH42" s="73"/>
      <c r="AI42" s="73"/>
      <c r="AJ42" s="76">
        <f>AB42-AW42</f>
        <v>292</v>
      </c>
      <c r="AK42" s="76"/>
      <c r="AL42" s="76"/>
      <c r="AM42" s="76"/>
      <c r="AN42" s="163" t="s">
        <v>77</v>
      </c>
      <c r="AO42" s="163"/>
      <c r="AP42" s="163"/>
      <c r="AQ42" s="163"/>
      <c r="AR42" s="163"/>
      <c r="AS42" s="161">
        <f>AB42-AF42</f>
        <v>-0.27208036025467663</v>
      </c>
      <c r="AT42" s="161"/>
      <c r="AU42" s="161"/>
      <c r="AV42" s="161"/>
      <c r="AW42" s="161">
        <f>X42-T42</f>
        <v>-0.27208036025467663</v>
      </c>
      <c r="AX42" s="161"/>
      <c r="AY42" s="161"/>
      <c r="AZ42" s="161"/>
      <c r="BA42" s="161"/>
      <c r="BB42" s="161"/>
      <c r="BC42" s="161"/>
      <c r="BD42" s="161"/>
      <c r="BE42" s="162">
        <v>0</v>
      </c>
      <c r="BF42" s="162"/>
      <c r="BG42" s="162"/>
      <c r="BH42" s="162"/>
      <c r="BI42" s="161">
        <f>AW42-BE42</f>
        <v>-0.27208036025467663</v>
      </c>
      <c r="BJ42" s="161"/>
      <c r="BK42" s="161"/>
      <c r="BL42" s="161"/>
      <c r="BM42" s="161"/>
      <c r="BN42" s="161"/>
      <c r="BO42" s="161"/>
      <c r="BP42" s="161"/>
      <c r="BQ42" s="25"/>
    </row>
    <row r="43" spans="2:69" ht="12.75" customHeight="1">
      <c r="B43" s="92" t="s">
        <v>50</v>
      </c>
      <c r="C43" s="93"/>
      <c r="D43" s="93"/>
      <c r="E43" s="93"/>
      <c r="F43" s="94"/>
      <c r="G43" s="52">
        <f>IF('TABLE (observations)'!AK41&lt;0,"",'TABLE (observations)'!AH41)</f>
        <v>158.94701743387276</v>
      </c>
      <c r="H43" s="53"/>
      <c r="I43" s="54"/>
      <c r="J43" s="105">
        <f>IF('TABLE (observations)'!AK41&lt;0,"",INT(ABS('TABLE (observations)'!AK41)))</f>
        <v>0</v>
      </c>
      <c r="K43" s="106"/>
      <c r="L43" s="63">
        <f>IF('TABLE (observations)'!AK41&lt;0,"",('TABLE (observations)'!AK41-J43)*60)</f>
        <v>28.870676132548226</v>
      </c>
      <c r="M43" s="63"/>
      <c r="N43" s="33"/>
      <c r="P43" s="73"/>
      <c r="Q43" s="73"/>
      <c r="R43" s="73"/>
      <c r="S43" s="73"/>
      <c r="T43" s="73"/>
      <c r="U43" s="73"/>
      <c r="V43" s="73"/>
      <c r="W43" s="73"/>
      <c r="X43" s="76"/>
      <c r="Y43" s="76"/>
      <c r="Z43" s="76"/>
      <c r="AA43" s="76"/>
      <c r="AB43" s="76"/>
      <c r="AC43" s="76"/>
      <c r="AD43" s="76"/>
      <c r="AE43" s="76"/>
      <c r="AF43" s="73"/>
      <c r="AG43" s="73"/>
      <c r="AH43" s="73"/>
      <c r="AI43" s="73"/>
      <c r="AJ43" s="76"/>
      <c r="AK43" s="76"/>
      <c r="AL43" s="76"/>
      <c r="AM43" s="76"/>
      <c r="AN43" s="163"/>
      <c r="AO43" s="163"/>
      <c r="AP43" s="163"/>
      <c r="AQ43" s="163"/>
      <c r="AR43" s="163"/>
      <c r="AS43" s="161"/>
      <c r="AT43" s="161"/>
      <c r="AU43" s="161"/>
      <c r="AV43" s="161"/>
      <c r="AW43" s="161"/>
      <c r="AX43" s="161"/>
      <c r="AY43" s="161"/>
      <c r="AZ43" s="161"/>
      <c r="BA43" s="161"/>
      <c r="BB43" s="161"/>
      <c r="BC43" s="161"/>
      <c r="BD43" s="161"/>
      <c r="BE43" s="162"/>
      <c r="BF43" s="162"/>
      <c r="BG43" s="162"/>
      <c r="BH43" s="162"/>
      <c r="BI43" s="161"/>
      <c r="BJ43" s="161"/>
      <c r="BK43" s="161"/>
      <c r="BL43" s="161"/>
      <c r="BM43" s="161"/>
      <c r="BN43" s="161"/>
      <c r="BO43" s="161"/>
      <c r="BP43" s="161"/>
    </row>
    <row r="44" spans="2:69" ht="12.75" customHeight="1">
      <c r="B44" s="92" t="s">
        <v>51</v>
      </c>
      <c r="C44" s="93"/>
      <c r="D44" s="93"/>
      <c r="E44" s="93"/>
      <c r="F44" s="94"/>
      <c r="G44" s="52" t="str">
        <f>IF('TABLE (observations)'!AK42&lt;0,"",'TABLE (observations)'!AH42)</f>
        <v/>
      </c>
      <c r="H44" s="53"/>
      <c r="I44" s="54"/>
      <c r="J44" s="105" t="str">
        <f>IF('TABLE (observations)'!AK42&lt;0,"",INT(ABS('TABLE (observations)'!AK42)))</f>
        <v/>
      </c>
      <c r="K44" s="106"/>
      <c r="L44" s="63" t="str">
        <f>IF('TABLE (observations)'!AK42&lt;0,"",('TABLE (observations)'!AK42-J44)*60)</f>
        <v/>
      </c>
      <c r="M44" s="63"/>
      <c r="N44" s="33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</row>
    <row r="45" spans="2:69" ht="12.75" customHeight="1">
      <c r="B45" s="92" t="s">
        <v>52</v>
      </c>
      <c r="C45" s="93"/>
      <c r="D45" s="93"/>
      <c r="E45" s="93"/>
      <c r="F45" s="94"/>
      <c r="G45" s="52">
        <f>IF('TABLE (observations)'!AK43&lt;0,"",'TABLE (observations)'!AH43)</f>
        <v>116.36142265238175</v>
      </c>
      <c r="H45" s="53"/>
      <c r="I45" s="54"/>
      <c r="J45" s="105">
        <f>IF('TABLE (observations)'!AK43&lt;0,"",INT(ABS('TABLE (observations)'!AK43)))</f>
        <v>19</v>
      </c>
      <c r="K45" s="106"/>
      <c r="L45" s="63">
        <f>IF('TABLE (observations)'!AK43&lt;0,"",('TABLE (observations)'!AK43-J45)*60)</f>
        <v>11.857958818088505</v>
      </c>
      <c r="M45" s="63"/>
      <c r="N45" s="33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48"/>
      <c r="AC45" s="48"/>
      <c r="AD45" s="48"/>
      <c r="AE45" s="48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</row>
    <row r="46" spans="2:69" ht="12.75" customHeight="1">
      <c r="B46" s="92" t="s">
        <v>53</v>
      </c>
      <c r="C46" s="93"/>
      <c r="D46" s="93"/>
      <c r="E46" s="93"/>
      <c r="F46" s="94"/>
      <c r="G46" s="52" t="str">
        <f>IF('TABLE (observations)'!AK44&lt;0,"",'TABLE (observations)'!AH44)</f>
        <v/>
      </c>
      <c r="H46" s="53"/>
      <c r="I46" s="54"/>
      <c r="J46" s="105" t="str">
        <f>IF('TABLE (observations)'!AK44&lt;0,"",INT(ABS('TABLE (observations)'!AK44)))</f>
        <v/>
      </c>
      <c r="K46" s="106"/>
      <c r="L46" s="63" t="str">
        <f>IF('TABLE (observations)'!AK44&lt;0,"",('TABLE (observations)'!AK44-J46)*60)</f>
        <v/>
      </c>
      <c r="M46" s="63"/>
      <c r="N46" s="33"/>
      <c r="Z46" s="21"/>
      <c r="AA46" s="21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</row>
    <row r="47" spans="2:69" ht="12.75" customHeight="1">
      <c r="B47" s="92" t="s">
        <v>54</v>
      </c>
      <c r="C47" s="93"/>
      <c r="D47" s="93"/>
      <c r="E47" s="93"/>
      <c r="F47" s="94"/>
      <c r="G47" s="52">
        <f>IF('TABLE (observations)'!AK45&lt;0,"",'TABLE (observations)'!AH45)</f>
        <v>15.422083321737004</v>
      </c>
      <c r="H47" s="53"/>
      <c r="I47" s="54"/>
      <c r="J47" s="105">
        <f>IF('TABLE (observations)'!AK45&lt;0,"",INT(ABS('TABLE (observations)'!AK45)))</f>
        <v>28</v>
      </c>
      <c r="K47" s="106"/>
      <c r="L47" s="63">
        <f>IF('TABLE (observations)'!AK45&lt;0,"",('TABLE (observations)'!AK45-J47)*60)</f>
        <v>16.216821957782557</v>
      </c>
      <c r="M47" s="63"/>
      <c r="N47" s="33"/>
      <c r="Z47" s="21"/>
      <c r="AA47" s="21"/>
    </row>
    <row r="48" spans="2:69" ht="12.75" customHeight="1">
      <c r="B48" s="92" t="s">
        <v>55</v>
      </c>
      <c r="C48" s="93"/>
      <c r="D48" s="93"/>
      <c r="E48" s="93"/>
      <c r="F48" s="94"/>
      <c r="G48" s="52" t="str">
        <f>IF('TABLE (observations)'!AK46&lt;0,"",'TABLE (observations)'!AH46)</f>
        <v/>
      </c>
      <c r="H48" s="53"/>
      <c r="I48" s="54"/>
      <c r="J48" s="105" t="str">
        <f>IF('TABLE (observations)'!AK46&lt;0,"",INT(ABS('TABLE (observations)'!AK46)))</f>
        <v/>
      </c>
      <c r="K48" s="106"/>
      <c r="L48" s="63" t="str">
        <f>IF('TABLE (observations)'!AK46&lt;0,"",('TABLE (observations)'!AK46-J48)*60)</f>
        <v/>
      </c>
      <c r="M48" s="63"/>
      <c r="N48" s="33"/>
      <c r="Z48" s="21"/>
      <c r="AA48" s="21"/>
      <c r="AR48" s="18"/>
      <c r="AS48" s="18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</row>
    <row r="49" spans="2:68" ht="12.75" customHeight="1">
      <c r="B49" s="92" t="s">
        <v>56</v>
      </c>
      <c r="C49" s="93"/>
      <c r="D49" s="93"/>
      <c r="E49" s="93"/>
      <c r="F49" s="94"/>
      <c r="G49" s="52" t="str">
        <f>IF('TABLE (observations)'!AK47&lt;0,"",'TABLE (observations)'!AH47)</f>
        <v/>
      </c>
      <c r="H49" s="53"/>
      <c r="I49" s="54"/>
      <c r="J49" s="105" t="str">
        <f>IF('TABLE (observations)'!AK47&lt;0,"",INT(ABS('TABLE (observations)'!AK47)))</f>
        <v/>
      </c>
      <c r="K49" s="106"/>
      <c r="L49" s="63" t="str">
        <f>IF('TABLE (observations)'!AK47&lt;0,"",('TABLE (observations)'!AK47-J49)*60)</f>
        <v/>
      </c>
      <c r="M49" s="63"/>
      <c r="N49" s="33"/>
      <c r="Z49" s="21"/>
      <c r="AA49" s="21"/>
      <c r="AR49" s="18"/>
      <c r="AS49" s="18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</row>
    <row r="50" spans="2:68" ht="12.75" customHeight="1">
      <c r="B50" s="92" t="s">
        <v>57</v>
      </c>
      <c r="C50" s="93"/>
      <c r="D50" s="93"/>
      <c r="E50" s="93"/>
      <c r="F50" s="94"/>
      <c r="G50" s="52" t="str">
        <f>IF('TABLE (observations)'!AK48&lt;0,"",'TABLE (observations)'!AH48)</f>
        <v/>
      </c>
      <c r="H50" s="53"/>
      <c r="I50" s="54"/>
      <c r="J50" s="105" t="str">
        <f>IF('TABLE (observations)'!AK48&lt;0,"",INT(ABS('TABLE (observations)'!AK48)))</f>
        <v/>
      </c>
      <c r="K50" s="106"/>
      <c r="L50" s="63" t="str">
        <f>IF('TABLE (observations)'!AK48&lt;0,"",('TABLE (observations)'!AK48-J50)*60)</f>
        <v/>
      </c>
      <c r="M50" s="63"/>
      <c r="N50" s="33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</row>
    <row r="51" spans="2:68" ht="12.75" customHeight="1">
      <c r="B51" s="92" t="s">
        <v>58</v>
      </c>
      <c r="C51" s="93"/>
      <c r="D51" s="93"/>
      <c r="E51" s="93"/>
      <c r="F51" s="94"/>
      <c r="G51" s="52">
        <f>IF('TABLE (observations)'!AK49&lt;0,"",'TABLE (observations)'!AH49)</f>
        <v>141.5866077874563</v>
      </c>
      <c r="H51" s="53"/>
      <c r="I51" s="54"/>
      <c r="J51" s="105">
        <f>IF('TABLE (observations)'!AK49&lt;0,"",INT(ABS('TABLE (observations)'!AK49)))</f>
        <v>17</v>
      </c>
      <c r="K51" s="106"/>
      <c r="L51" s="63">
        <f>IF('TABLE (observations)'!AK49&lt;0,"",('TABLE (observations)'!AK49-J51)*60)</f>
        <v>20.963788399029823</v>
      </c>
      <c r="M51" s="63"/>
      <c r="N51" s="33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8"/>
      <c r="BN51" s="18"/>
      <c r="BO51" s="25"/>
      <c r="BP51" s="25"/>
    </row>
    <row r="52" spans="2:68" ht="12.75" customHeight="1">
      <c r="B52" s="92" t="s">
        <v>59</v>
      </c>
      <c r="C52" s="93"/>
      <c r="D52" s="93"/>
      <c r="E52" s="93"/>
      <c r="F52" s="94"/>
      <c r="G52" s="52" t="str">
        <f>IF('TABLE (observations)'!AK50&lt;0,"",'TABLE (observations)'!AH50)</f>
        <v/>
      </c>
      <c r="H52" s="53"/>
      <c r="I52" s="54"/>
      <c r="J52" s="105" t="str">
        <f>IF('TABLE (observations)'!AK50&lt;0,"",INT(ABS('TABLE (observations)'!AK50)))</f>
        <v/>
      </c>
      <c r="K52" s="106"/>
      <c r="L52" s="63" t="str">
        <f>IF('TABLE (observations)'!AK50&lt;0,"",('TABLE (observations)'!AK50-J52)*60)</f>
        <v/>
      </c>
      <c r="M52" s="63"/>
      <c r="N52" s="33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8"/>
      <c r="BN52" s="18"/>
      <c r="BO52" s="25"/>
      <c r="BP52" s="25"/>
    </row>
    <row r="53" spans="2:68" ht="12.75" customHeight="1">
      <c r="B53" s="92" t="s">
        <v>60</v>
      </c>
      <c r="C53" s="93"/>
      <c r="D53" s="93"/>
      <c r="E53" s="93"/>
      <c r="F53" s="94"/>
      <c r="G53" s="52">
        <f>IF('TABLE (observations)'!AK51&lt;0,"",'TABLE (observations)'!AH51)</f>
        <v>323.65023362076528</v>
      </c>
      <c r="H53" s="53"/>
      <c r="I53" s="54"/>
      <c r="J53" s="105">
        <f>IF('TABLE (observations)'!AK51&lt;0,"",INT(ABS('TABLE (observations)'!AK51)))</f>
        <v>1</v>
      </c>
      <c r="K53" s="106"/>
      <c r="L53" s="63">
        <f>IF('TABLE (observations)'!AK51&lt;0,"",('TABLE (observations)'!AK51-J53)*60)</f>
        <v>59.385171227925795</v>
      </c>
      <c r="M53" s="63"/>
      <c r="N53" s="33"/>
    </row>
    <row r="54" spans="2:68" ht="12.75" customHeight="1">
      <c r="B54" s="92" t="s">
        <v>61</v>
      </c>
      <c r="C54" s="93"/>
      <c r="D54" s="93"/>
      <c r="E54" s="93"/>
      <c r="F54" s="94"/>
      <c r="G54" s="52" t="str">
        <f>IF('TABLE (observations)'!AK52&lt;0,"",'TABLE (observations)'!AH52)</f>
        <v/>
      </c>
      <c r="H54" s="53"/>
      <c r="I54" s="54"/>
      <c r="J54" s="105" t="str">
        <f>IF('TABLE (observations)'!AK52&lt;0,"",INT(ABS('TABLE (observations)'!AK52)))</f>
        <v/>
      </c>
      <c r="K54" s="106"/>
      <c r="L54" s="63" t="str">
        <f>IF('TABLE (observations)'!AK52&lt;0,"",('TABLE (observations)'!AK52-J54)*60)</f>
        <v/>
      </c>
      <c r="M54" s="63"/>
      <c r="N54" s="33"/>
    </row>
    <row r="55" spans="2:68" ht="12.75" customHeight="1">
      <c r="B55" s="92" t="s">
        <v>62</v>
      </c>
      <c r="C55" s="93"/>
      <c r="D55" s="93"/>
      <c r="E55" s="93"/>
      <c r="F55" s="94"/>
      <c r="G55" s="52" t="str">
        <f>IF('TABLE (observations)'!AK53&lt;0,"",'TABLE (observations)'!AH53)</f>
        <v/>
      </c>
      <c r="H55" s="53"/>
      <c r="I55" s="54"/>
      <c r="J55" s="105" t="str">
        <f>IF('TABLE (observations)'!AK53&lt;0,"",INT(ABS('TABLE (observations)'!AK53)))</f>
        <v/>
      </c>
      <c r="K55" s="106"/>
      <c r="L55" s="63" t="str">
        <f>IF('TABLE (observations)'!AK53&lt;0,"",('TABLE (observations)'!AK53-J55)*60)</f>
        <v/>
      </c>
      <c r="M55" s="63"/>
      <c r="N55" s="33"/>
      <c r="Z55" s="21"/>
      <c r="AA55" s="21"/>
    </row>
    <row r="56" spans="2:68" ht="12.75" customHeight="1">
      <c r="B56" s="92" t="s">
        <v>63</v>
      </c>
      <c r="C56" s="93"/>
      <c r="D56" s="93"/>
      <c r="E56" s="93"/>
      <c r="F56" s="94"/>
      <c r="G56" s="52">
        <f>IF('TABLE (observations)'!AK54&lt;0,"",'TABLE (observations)'!AH54)</f>
        <v>289.30087915505499</v>
      </c>
      <c r="H56" s="53"/>
      <c r="I56" s="54"/>
      <c r="J56" s="105">
        <f>IF('TABLE (observations)'!AK54&lt;0,"",INT(ABS('TABLE (observations)'!AK54)))</f>
        <v>46</v>
      </c>
      <c r="K56" s="106"/>
      <c r="L56" s="63">
        <f>IF('TABLE (observations)'!AK54&lt;0,"",('TABLE (observations)'!AK54-J56)*60)</f>
        <v>6.9328856253743254</v>
      </c>
      <c r="M56" s="63"/>
      <c r="N56" s="33"/>
      <c r="Z56" s="21"/>
      <c r="AA56" s="21"/>
    </row>
    <row r="57" spans="2:68" ht="12.75" customHeight="1">
      <c r="B57" s="92" t="s">
        <v>64</v>
      </c>
      <c r="C57" s="93"/>
      <c r="D57" s="93"/>
      <c r="E57" s="93"/>
      <c r="F57" s="94"/>
      <c r="G57" s="52">
        <f>IF('TABLE (observations)'!AK55&lt;0,"",'TABLE (observations)'!AH55)</f>
        <v>259.12562448079086</v>
      </c>
      <c r="H57" s="53"/>
      <c r="I57" s="54"/>
      <c r="J57" s="105">
        <f>IF('TABLE (observations)'!AK55&lt;0,"",INT(ABS('TABLE (observations)'!AK55)))</f>
        <v>39</v>
      </c>
      <c r="K57" s="106"/>
      <c r="L57" s="63">
        <f>IF('TABLE (observations)'!AK55&lt;0,"",('TABLE (observations)'!AK55-J57)*60)</f>
        <v>44.20768910937511</v>
      </c>
      <c r="M57" s="63"/>
      <c r="N57" s="33"/>
      <c r="Z57" s="21"/>
      <c r="AA57" s="21"/>
    </row>
    <row r="58" spans="2:68" ht="12.75" customHeight="1">
      <c r="B58" s="92" t="s">
        <v>65</v>
      </c>
      <c r="C58" s="93"/>
      <c r="D58" s="93"/>
      <c r="E58" s="93"/>
      <c r="F58" s="94"/>
      <c r="G58" s="52" t="str">
        <f>IF('TABLE (observations)'!AK56&lt;0,"",'TABLE (observations)'!AH56)</f>
        <v/>
      </c>
      <c r="H58" s="53"/>
      <c r="I58" s="54"/>
      <c r="J58" s="105" t="str">
        <f>IF('TABLE (observations)'!AK56&lt;0,"",INT(ABS('TABLE (observations)'!AK56)))</f>
        <v/>
      </c>
      <c r="K58" s="106"/>
      <c r="L58" s="63" t="str">
        <f>IF('TABLE (observations)'!AK56&lt;0,"",('TABLE (observations)'!AK56-J58)*60)</f>
        <v/>
      </c>
      <c r="M58" s="63"/>
      <c r="N58" s="33"/>
      <c r="Z58" s="21"/>
      <c r="AA58" s="21"/>
    </row>
    <row r="59" spans="2:68" ht="12.75" customHeight="1">
      <c r="B59" s="92" t="s">
        <v>66</v>
      </c>
      <c r="C59" s="93"/>
      <c r="D59" s="93"/>
      <c r="E59" s="93"/>
      <c r="F59" s="94"/>
      <c r="G59" s="52">
        <f>IF('TABLE (observations)'!AK57&lt;0,"",'TABLE (observations)'!AH57)</f>
        <v>234.46602356549906</v>
      </c>
      <c r="H59" s="53"/>
      <c r="I59" s="54"/>
      <c r="J59" s="105">
        <f>IF('TABLE (observations)'!AK57&lt;0,"",INT(ABS('TABLE (observations)'!AK57)))</f>
        <v>75</v>
      </c>
      <c r="K59" s="106"/>
      <c r="L59" s="63">
        <f>IF('TABLE (observations)'!AK57&lt;0,"",('TABLE (observations)'!AK57-J59)*60)</f>
        <v>27.796685012037869</v>
      </c>
      <c r="M59" s="63"/>
      <c r="N59" s="33"/>
    </row>
    <row r="60" spans="2:68" ht="12.75" customHeight="1">
      <c r="B60" s="92" t="s">
        <v>67</v>
      </c>
      <c r="C60" s="93"/>
      <c r="D60" s="93"/>
      <c r="E60" s="93"/>
      <c r="F60" s="94"/>
      <c r="G60" s="52">
        <f>IF('TABLE (observations)'!AK58&lt;0,"",'TABLE (observations)'!AH58)</f>
        <v>260.75659569050237</v>
      </c>
      <c r="H60" s="53"/>
      <c r="I60" s="54"/>
      <c r="J60" s="105">
        <f>IF('TABLE (observations)'!AK58&lt;0,"",INT(ABS('TABLE (observations)'!AK58)))</f>
        <v>1</v>
      </c>
      <c r="K60" s="106"/>
      <c r="L60" s="63">
        <f>IF('TABLE (observations)'!AK58&lt;0,"",('TABLE (observations)'!AK58-J60)*60)</f>
        <v>16.325677043956478</v>
      </c>
      <c r="M60" s="63"/>
      <c r="N60" s="33"/>
    </row>
    <row r="61" spans="2:68" ht="12.75" customHeight="1">
      <c r="B61" s="92" t="s">
        <v>68</v>
      </c>
      <c r="C61" s="93"/>
      <c r="D61" s="93"/>
      <c r="E61" s="93"/>
      <c r="F61" s="94"/>
      <c r="G61" s="52" t="str">
        <f>IF('TABLE (observations)'!AK59&lt;0,"",'TABLE (observations)'!AH59)</f>
        <v/>
      </c>
      <c r="H61" s="53"/>
      <c r="I61" s="54"/>
      <c r="J61" s="105" t="str">
        <f>IF('TABLE (observations)'!AK59&lt;0,"",INT(ABS('TABLE (observations)'!AK59)))</f>
        <v/>
      </c>
      <c r="K61" s="106"/>
      <c r="L61" s="63" t="str">
        <f>IF('TABLE (observations)'!AK59&lt;0,"",('TABLE (observations)'!AK59-J61)*60)</f>
        <v/>
      </c>
      <c r="M61" s="63"/>
      <c r="N61" s="33"/>
    </row>
    <row r="62" spans="2:68" ht="12.75" customHeight="1">
      <c r="B62" s="92" t="s">
        <v>69</v>
      </c>
      <c r="C62" s="93"/>
      <c r="D62" s="93"/>
      <c r="E62" s="93"/>
      <c r="F62" s="94"/>
      <c r="G62" s="52" t="str">
        <f>IF('TABLE (observations)'!AK60&lt;0,"",'TABLE (observations)'!AH60)</f>
        <v/>
      </c>
      <c r="H62" s="53"/>
      <c r="I62" s="54"/>
      <c r="J62" s="105" t="str">
        <f>IF('TABLE (observations)'!AK60&lt;0,"",INT(ABS('TABLE (observations)'!AK60)))</f>
        <v/>
      </c>
      <c r="K62" s="106"/>
      <c r="L62" s="63" t="str">
        <f>IF('TABLE (observations)'!AK60&lt;0,"",('TABLE (observations)'!AK60-J62)*60)</f>
        <v/>
      </c>
      <c r="M62" s="63"/>
      <c r="N62" s="33"/>
    </row>
    <row r="63" spans="2:68" ht="12.75" customHeight="1">
      <c r="B63" s="92" t="s">
        <v>70</v>
      </c>
      <c r="C63" s="93"/>
      <c r="D63" s="93"/>
      <c r="E63" s="93"/>
      <c r="F63" s="94"/>
      <c r="G63" s="52" t="str">
        <f>IF('TABLE (observations)'!AK61&lt;0,"",'TABLE (observations)'!AH61)</f>
        <v/>
      </c>
      <c r="H63" s="53"/>
      <c r="I63" s="54"/>
      <c r="J63" s="105" t="str">
        <f>IF('TABLE (observations)'!AK61&lt;0,"",INT(ABS('TABLE (observations)'!AK61)))</f>
        <v/>
      </c>
      <c r="K63" s="106"/>
      <c r="L63" s="63" t="str">
        <f>IF('TABLE (observations)'!AK61&lt;0,"",('TABLE (observations)'!AK61-J63)*60)</f>
        <v/>
      </c>
      <c r="M63" s="63"/>
      <c r="N63" s="33"/>
    </row>
    <row r="64" spans="2:68" ht="12.75" customHeight="1">
      <c r="B64" s="92" t="s">
        <v>71</v>
      </c>
      <c r="C64" s="93"/>
      <c r="D64" s="93"/>
      <c r="E64" s="93"/>
      <c r="F64" s="94"/>
      <c r="G64" s="52" t="str">
        <f>IF('TABLE (observations)'!AK62&lt;0,"",'TABLE (observations)'!AH62)</f>
        <v/>
      </c>
      <c r="H64" s="53"/>
      <c r="I64" s="54"/>
      <c r="J64" s="105" t="str">
        <f>IF('TABLE (observations)'!AK62&lt;0,"",INT(ABS('TABLE (observations)'!AK62)))</f>
        <v/>
      </c>
      <c r="K64" s="106"/>
      <c r="L64" s="63" t="str">
        <f>IF('TABLE (observations)'!AK62&lt;0,"",('TABLE (observations)'!AK62-J64)*60)</f>
        <v/>
      </c>
      <c r="M64" s="63"/>
      <c r="N64" s="33"/>
    </row>
    <row r="65" spans="2:14" ht="12.75" customHeight="1">
      <c r="B65" s="92" t="s">
        <v>72</v>
      </c>
      <c r="C65" s="93"/>
      <c r="D65" s="93"/>
      <c r="E65" s="93"/>
      <c r="F65" s="94"/>
      <c r="G65" s="52" t="str">
        <f>IF('TABLE (observations)'!AK63&lt;0,"",'TABLE (observations)'!AH63)</f>
        <v/>
      </c>
      <c r="H65" s="53"/>
      <c r="I65" s="54"/>
      <c r="J65" s="105" t="str">
        <f>IF('TABLE (observations)'!AK63&lt;0,"",INT(ABS('TABLE (observations)'!AK63)))</f>
        <v/>
      </c>
      <c r="K65" s="106"/>
      <c r="L65" s="63" t="str">
        <f>IF('TABLE (observations)'!AK63&lt;0,"",('TABLE (observations)'!AK63-J65)*60)</f>
        <v/>
      </c>
      <c r="M65" s="63"/>
      <c r="N65" s="33"/>
    </row>
    <row r="66" spans="2:14" ht="12.75" customHeight="1">
      <c r="B66" s="92" t="s">
        <v>73</v>
      </c>
      <c r="C66" s="93"/>
      <c r="D66" s="93"/>
      <c r="E66" s="93"/>
      <c r="F66" s="94"/>
      <c r="G66" s="52">
        <f>IF('TABLE (observations)'!AK64&lt;0,"",'TABLE (observations)'!AH64)</f>
        <v>243.55610228860533</v>
      </c>
      <c r="H66" s="53"/>
      <c r="I66" s="54"/>
      <c r="J66" s="105">
        <f>IF('TABLE (observations)'!AK64&lt;0,"",INT(ABS('TABLE (observations)'!AK64)))</f>
        <v>17</v>
      </c>
      <c r="K66" s="106"/>
      <c r="L66" s="63">
        <f>IF('TABLE (observations)'!AK64&lt;0,"",('TABLE (observations)'!AK64-J66)*60)</f>
        <v>52.335023725768082</v>
      </c>
      <c r="M66" s="63"/>
      <c r="N66" s="33"/>
    </row>
    <row r="67" spans="2:14" ht="12.75" customHeight="1">
      <c r="B67" s="92" t="s">
        <v>74</v>
      </c>
      <c r="C67" s="93"/>
      <c r="D67" s="93"/>
      <c r="E67" s="93"/>
      <c r="F67" s="94"/>
      <c r="G67" s="52">
        <f>IF('TABLE (observations)'!AK65&lt;0,"",'TABLE (observations)'!AH65)</f>
        <v>127.77289878696249</v>
      </c>
      <c r="H67" s="53"/>
      <c r="I67" s="54"/>
      <c r="J67" s="105">
        <f>IF('TABLE (observations)'!AK65&lt;0,"",INT(ABS('TABLE (observations)'!AK65)))</f>
        <v>41</v>
      </c>
      <c r="K67" s="106"/>
      <c r="L67" s="63">
        <f>IF('TABLE (observations)'!AK65&lt;0,"",('TABLE (observations)'!AK65-J67)*60)</f>
        <v>28.316963099221653</v>
      </c>
      <c r="M67" s="63"/>
      <c r="N67" s="33"/>
    </row>
    <row r="68" spans="2:14" ht="12.75" customHeight="1">
      <c r="B68" s="92" t="s">
        <v>75</v>
      </c>
      <c r="C68" s="93"/>
      <c r="D68" s="93"/>
      <c r="E68" s="93"/>
      <c r="F68" s="94"/>
      <c r="G68" s="52">
        <f>IF('TABLE (observations)'!AK66&lt;0,"",'TABLE (observations)'!AH66)</f>
        <v>200.78504526545606</v>
      </c>
      <c r="H68" s="53"/>
      <c r="I68" s="54"/>
      <c r="J68" s="105">
        <f>IF('TABLE (observations)'!AK66&lt;0,"",INT(ABS('TABLE (observations)'!AK66)))</f>
        <v>21</v>
      </c>
      <c r="K68" s="106"/>
      <c r="L68" s="63">
        <f>IF('TABLE (observations)'!AK66&lt;0,"",('TABLE (observations)'!AK66-J68)*60)</f>
        <v>7.0393739130492605</v>
      </c>
      <c r="M68" s="63"/>
      <c r="N68" s="33"/>
    </row>
    <row r="69" spans="2:14" ht="12.75" customHeight="1">
      <c r="B69" s="92" t="s">
        <v>76</v>
      </c>
      <c r="C69" s="93"/>
      <c r="D69" s="93"/>
      <c r="E69" s="93"/>
      <c r="F69" s="94"/>
      <c r="G69" s="52" t="str">
        <f>IF('TABLE (observations)'!AK67&lt;0,"",'TABLE (observations)'!AH67)</f>
        <v/>
      </c>
      <c r="H69" s="53"/>
      <c r="I69" s="54"/>
      <c r="J69" s="105" t="str">
        <f>IF('TABLE (observations)'!AK67&lt;0,"",INT(ABS('TABLE (observations)'!AK67)))</f>
        <v/>
      </c>
      <c r="K69" s="106"/>
      <c r="L69" s="63" t="str">
        <f>IF('TABLE (observations)'!AK67&lt;0,"",('TABLE (observations)'!AK67-J69)*60)</f>
        <v/>
      </c>
      <c r="M69" s="63"/>
      <c r="N69" s="33"/>
    </row>
    <row r="70" spans="2:14" ht="12.75" customHeight="1">
      <c r="B70" s="92" t="s">
        <v>77</v>
      </c>
      <c r="C70" s="93"/>
      <c r="D70" s="93"/>
      <c r="E70" s="93"/>
      <c r="F70" s="94"/>
      <c r="G70" s="52">
        <f>IF('TABLE (observations)'!AK68&lt;0,"",'TABLE (observations)'!AH68)</f>
        <v>291.72791963974532</v>
      </c>
      <c r="H70" s="53"/>
      <c r="I70" s="54"/>
      <c r="J70" s="105">
        <f>IF('TABLE (observations)'!AK68&lt;0,"",INT(ABS('TABLE (observations)'!AK68)))</f>
        <v>11</v>
      </c>
      <c r="K70" s="106"/>
      <c r="L70" s="63">
        <f>IF('TABLE (observations)'!AK68&lt;0,"",('TABLE (observations)'!AK68-J70)*60)</f>
        <v>42.760311238416087</v>
      </c>
      <c r="M70" s="63"/>
      <c r="N70" s="33"/>
    </row>
    <row r="71" spans="2:14" ht="12.75" customHeight="1">
      <c r="B71" s="95" t="s">
        <v>78</v>
      </c>
      <c r="C71" s="96"/>
      <c r="D71" s="96"/>
      <c r="E71" s="96"/>
      <c r="F71" s="97"/>
      <c r="G71" s="70">
        <f>IF('TABLE (observations)'!AK69&lt;0,"",'TABLE (observations)'!AH69)</f>
        <v>118.05228513611625</v>
      </c>
      <c r="H71" s="71"/>
      <c r="I71" s="72"/>
      <c r="J71" s="107">
        <f>IF('TABLE (observations)'!AK69&lt;0,"",INT(ABS('TABLE (observations)'!AK69)))</f>
        <v>21</v>
      </c>
      <c r="K71" s="108"/>
      <c r="L71" s="122">
        <f>IF('TABLE (observations)'!AK69&lt;0,"",('TABLE (observations)'!AK69-J71)*60)</f>
        <v>45.102825812624445</v>
      </c>
      <c r="M71" s="123"/>
      <c r="N71" s="33"/>
    </row>
    <row r="72" spans="2:14" ht="12.75" customHeight="1">
      <c r="N72" s="33"/>
    </row>
    <row r="73" spans="2:14" ht="12.75" customHeight="1">
      <c r="N73" s="33"/>
    </row>
    <row r="74" spans="2:14" ht="12.75" customHeight="1">
      <c r="N74" s="33"/>
    </row>
    <row r="104" spans="21:24" ht="12.75" customHeight="1">
      <c r="U104" s="47"/>
      <c r="V104" s="47"/>
      <c r="W104" s="47"/>
      <c r="X104" s="47"/>
    </row>
    <row r="105" spans="21:24" ht="12.75" customHeight="1">
      <c r="U105" s="47"/>
      <c r="V105" s="47"/>
      <c r="W105" s="47"/>
      <c r="X105" s="47"/>
    </row>
    <row r="106" spans="21:24" ht="12.75" customHeight="1">
      <c r="U106" s="47"/>
      <c r="V106" s="47"/>
      <c r="W106" s="47"/>
      <c r="X106" s="47"/>
    </row>
    <row r="107" spans="21:24" ht="12.75" customHeight="1">
      <c r="U107" s="47"/>
      <c r="V107" s="47"/>
      <c r="W107" s="47"/>
      <c r="X107" s="47"/>
    </row>
    <row r="108" spans="21:24" ht="12.75" customHeight="1">
      <c r="U108" s="47"/>
      <c r="V108" s="47"/>
      <c r="W108" s="47"/>
      <c r="X108" s="47"/>
    </row>
    <row r="109" spans="21:24" ht="12.75" customHeight="1">
      <c r="U109" s="47"/>
      <c r="V109" s="47"/>
      <c r="W109" s="47"/>
      <c r="X109" s="47"/>
    </row>
    <row r="110" spans="21:24" ht="12.75" customHeight="1">
      <c r="U110" s="47"/>
      <c r="V110" s="47"/>
      <c r="W110" s="47"/>
      <c r="X110" s="47"/>
    </row>
    <row r="111" spans="21:24" ht="12.75" customHeight="1">
      <c r="U111" s="47"/>
      <c r="V111" s="47"/>
      <c r="W111" s="47"/>
      <c r="X111" s="47"/>
    </row>
    <row r="112" spans="21:24" ht="12.75" customHeight="1">
      <c r="U112" s="47"/>
      <c r="V112" s="47"/>
      <c r="W112" s="47"/>
      <c r="X112" s="47"/>
    </row>
    <row r="113" spans="21:46" ht="12.75" customHeight="1">
      <c r="U113" s="47"/>
      <c r="V113" s="47"/>
      <c r="W113" s="47"/>
      <c r="X113" s="47"/>
    </row>
    <row r="114" spans="21:46" ht="12.75" customHeight="1">
      <c r="U114" s="47"/>
      <c r="V114" s="47"/>
      <c r="W114" s="47"/>
      <c r="X114" s="47"/>
    </row>
    <row r="115" spans="21:46" ht="12.75" customHeight="1">
      <c r="U115" s="47"/>
      <c r="V115" s="47"/>
      <c r="W115" s="47"/>
      <c r="X115" s="47"/>
    </row>
    <row r="116" spans="21:46" ht="12.75" customHeight="1">
      <c r="U116" s="47"/>
      <c r="V116" s="47"/>
      <c r="W116" s="47"/>
      <c r="X116" s="47"/>
    </row>
    <row r="117" spans="21:46" ht="12.75" customHeight="1">
      <c r="U117" s="47"/>
      <c r="V117" s="47"/>
      <c r="W117" s="47"/>
      <c r="X117" s="47"/>
    </row>
    <row r="118" spans="21:46" ht="12.75" customHeight="1">
      <c r="U118" s="47"/>
      <c r="V118" s="47"/>
      <c r="W118" s="47"/>
      <c r="X118" s="47"/>
    </row>
    <row r="119" spans="21:46" ht="12.75" customHeight="1">
      <c r="U119" s="47"/>
      <c r="V119" s="47"/>
      <c r="W119" s="47"/>
      <c r="X119" s="47"/>
    </row>
    <row r="120" spans="21:46" ht="12.75" customHeight="1">
      <c r="U120" s="47"/>
      <c r="V120" s="47"/>
      <c r="W120" s="47"/>
      <c r="X120" s="47"/>
    </row>
    <row r="121" spans="21:46" ht="12.75" customHeight="1">
      <c r="U121" s="47"/>
      <c r="V121" s="47"/>
      <c r="W121" s="47"/>
      <c r="X121" s="47"/>
    </row>
    <row r="122" spans="21:46" ht="12.75" customHeight="1">
      <c r="U122" s="47"/>
      <c r="V122" s="47"/>
      <c r="W122" s="47"/>
      <c r="X122" s="47"/>
    </row>
    <row r="123" spans="21:46" ht="12.75" customHeight="1">
      <c r="U123" s="47"/>
      <c r="V123" s="47"/>
      <c r="W123" s="47"/>
      <c r="X123" s="47"/>
    </row>
    <row r="124" spans="21:46" ht="12.75" customHeight="1">
      <c r="U124" s="47"/>
      <c r="V124" s="47"/>
      <c r="W124" s="47"/>
      <c r="X124" s="47"/>
    </row>
    <row r="125" spans="21:46" ht="12.75" customHeight="1">
      <c r="U125" s="47"/>
      <c r="V125" s="47"/>
      <c r="W125" s="47"/>
      <c r="X125" s="47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</row>
    <row r="126" spans="21:46" ht="12.75" customHeight="1">
      <c r="U126" s="47"/>
      <c r="V126" s="47"/>
      <c r="W126" s="47"/>
      <c r="X126" s="47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</row>
  </sheetData>
  <protectedRanges>
    <protectedRange sqref="U35:AC38 AS35:AZ38 BE42:BH43 AN42:AR43 AF42:AI43 T42:W43 P42:S43" name="Диапазон1"/>
  </protectedRanges>
  <mergeCells count="346">
    <mergeCell ref="AJ42:AM43"/>
    <mergeCell ref="AN42:AR43"/>
    <mergeCell ref="AS42:AV43"/>
    <mergeCell ref="AW42:AZ43"/>
    <mergeCell ref="BI41:BL41"/>
    <mergeCell ref="BM41:BP41"/>
    <mergeCell ref="BI40:BP40"/>
    <mergeCell ref="BE40:BH41"/>
    <mergeCell ref="AS40:BD40"/>
    <mergeCell ref="AS41:AV41"/>
    <mergeCell ref="AW41:AZ41"/>
    <mergeCell ref="BA41:BD41"/>
    <mergeCell ref="BA42:BD43"/>
    <mergeCell ref="BE42:BH43"/>
    <mergeCell ref="BI42:BL43"/>
    <mergeCell ref="BM42:BP43"/>
    <mergeCell ref="AN40:AR41"/>
    <mergeCell ref="AB40:AM40"/>
    <mergeCell ref="AB41:AE41"/>
    <mergeCell ref="AF41:AI41"/>
    <mergeCell ref="AJ41:AM41"/>
    <mergeCell ref="P41:S41"/>
    <mergeCell ref="T41:W41"/>
    <mergeCell ref="X41:AA41"/>
    <mergeCell ref="P40:AA40"/>
    <mergeCell ref="AN35:AR36"/>
    <mergeCell ref="AN37:AR38"/>
    <mergeCell ref="U37:W38"/>
    <mergeCell ref="U35:AC36"/>
    <mergeCell ref="AS37:AU38"/>
    <mergeCell ref="AV35:AX36"/>
    <mergeCell ref="AV37:AX38"/>
    <mergeCell ref="AY35:AZ36"/>
    <mergeCell ref="AY37:AZ38"/>
    <mergeCell ref="AS35:AU36"/>
    <mergeCell ref="P7:T8"/>
    <mergeCell ref="U7:Y8"/>
    <mergeCell ref="P9:U9"/>
    <mergeCell ref="V9:Y9"/>
    <mergeCell ref="L69:M69"/>
    <mergeCell ref="L70:M70"/>
    <mergeCell ref="L57:M57"/>
    <mergeCell ref="L58:M58"/>
    <mergeCell ref="L59:M59"/>
    <mergeCell ref="L60:M60"/>
    <mergeCell ref="X37:Z38"/>
    <mergeCell ref="P37:T38"/>
    <mergeCell ref="L71:M71"/>
    <mergeCell ref="J7:M8"/>
    <mergeCell ref="L65:M65"/>
    <mergeCell ref="L66:M66"/>
    <mergeCell ref="L67:M67"/>
    <mergeCell ref="L68:M68"/>
    <mergeCell ref="L61:M61"/>
    <mergeCell ref="L62:M62"/>
    <mergeCell ref="L63:M63"/>
    <mergeCell ref="L64:M64"/>
    <mergeCell ref="L44:M44"/>
    <mergeCell ref="L53:M53"/>
    <mergeCell ref="L54:M54"/>
    <mergeCell ref="L55:M55"/>
    <mergeCell ref="L56:M56"/>
    <mergeCell ref="L49:M49"/>
    <mergeCell ref="L50:M50"/>
    <mergeCell ref="L51:M51"/>
    <mergeCell ref="L52:M52"/>
    <mergeCell ref="J71:K71"/>
    <mergeCell ref="B7:F8"/>
    <mergeCell ref="G7:I8"/>
    <mergeCell ref="L9:M9"/>
    <mergeCell ref="L10:M10"/>
    <mergeCell ref="L11:M11"/>
    <mergeCell ref="L12:M12"/>
    <mergeCell ref="L13:M13"/>
    <mergeCell ref="L14:M14"/>
    <mergeCell ref="J67:K67"/>
    <mergeCell ref="L37:M37"/>
    <mergeCell ref="L38:M38"/>
    <mergeCell ref="L39:M39"/>
    <mergeCell ref="L40:M40"/>
    <mergeCell ref="L33:M33"/>
    <mergeCell ref="L34:M34"/>
    <mergeCell ref="L35:M35"/>
    <mergeCell ref="L36:M36"/>
    <mergeCell ref="L45:M45"/>
    <mergeCell ref="L46:M46"/>
    <mergeCell ref="L47:M47"/>
    <mergeCell ref="L48:M48"/>
    <mergeCell ref="L41:M41"/>
    <mergeCell ref="L42:M42"/>
    <mergeCell ref="J59:K59"/>
    <mergeCell ref="J60:K60"/>
    <mergeCell ref="J53:K53"/>
    <mergeCell ref="J54:K54"/>
    <mergeCell ref="J55:K55"/>
    <mergeCell ref="J56:K56"/>
    <mergeCell ref="J70:K70"/>
    <mergeCell ref="J63:K63"/>
    <mergeCell ref="J64:K64"/>
    <mergeCell ref="J65:K65"/>
    <mergeCell ref="J66:K66"/>
    <mergeCell ref="J61:K61"/>
    <mergeCell ref="J62:K62"/>
    <mergeCell ref="J68:K68"/>
    <mergeCell ref="J69:K69"/>
    <mergeCell ref="J50:K50"/>
    <mergeCell ref="J51:K51"/>
    <mergeCell ref="J52:K52"/>
    <mergeCell ref="J45:K45"/>
    <mergeCell ref="J46:K46"/>
    <mergeCell ref="J47:K47"/>
    <mergeCell ref="J48:K48"/>
    <mergeCell ref="J57:K57"/>
    <mergeCell ref="J58:K58"/>
    <mergeCell ref="J41:K41"/>
    <mergeCell ref="J42:K42"/>
    <mergeCell ref="J43:K43"/>
    <mergeCell ref="J44:K44"/>
    <mergeCell ref="J37:K37"/>
    <mergeCell ref="J38:K38"/>
    <mergeCell ref="J39:K39"/>
    <mergeCell ref="J40:K40"/>
    <mergeCell ref="J49:K49"/>
    <mergeCell ref="J28:K28"/>
    <mergeCell ref="J21:K21"/>
    <mergeCell ref="J22:K22"/>
    <mergeCell ref="J23:K23"/>
    <mergeCell ref="J24:K24"/>
    <mergeCell ref="J33:K33"/>
    <mergeCell ref="J34:K34"/>
    <mergeCell ref="J35:K35"/>
    <mergeCell ref="J36:K36"/>
    <mergeCell ref="J29:K29"/>
    <mergeCell ref="J30:K30"/>
    <mergeCell ref="J31:K31"/>
    <mergeCell ref="J32:K32"/>
    <mergeCell ref="B70:F70"/>
    <mergeCell ref="B71:F71"/>
    <mergeCell ref="B64:F64"/>
    <mergeCell ref="B65:F65"/>
    <mergeCell ref="B66:F66"/>
    <mergeCell ref="B67:F67"/>
    <mergeCell ref="U17:V17"/>
    <mergeCell ref="U18:V18"/>
    <mergeCell ref="U19:V19"/>
    <mergeCell ref="U20:V20"/>
    <mergeCell ref="B68:F68"/>
    <mergeCell ref="B69:F69"/>
    <mergeCell ref="B60:F60"/>
    <mergeCell ref="B61:F61"/>
    <mergeCell ref="B62:F62"/>
    <mergeCell ref="B63:F63"/>
    <mergeCell ref="V27:W27"/>
    <mergeCell ref="W20:X20"/>
    <mergeCell ref="U21:V21"/>
    <mergeCell ref="W21:X21"/>
    <mergeCell ref="W22:X22"/>
    <mergeCell ref="U22:V22"/>
    <mergeCell ref="U24:V24"/>
    <mergeCell ref="J17:K17"/>
    <mergeCell ref="B51:F51"/>
    <mergeCell ref="B44:F44"/>
    <mergeCell ref="B45:F45"/>
    <mergeCell ref="B46:F46"/>
    <mergeCell ref="B47:F47"/>
    <mergeCell ref="B56:F56"/>
    <mergeCell ref="B57:F57"/>
    <mergeCell ref="B58:F58"/>
    <mergeCell ref="B59:F59"/>
    <mergeCell ref="B52:F52"/>
    <mergeCell ref="B53:F53"/>
    <mergeCell ref="B54:F54"/>
    <mergeCell ref="B55:F55"/>
    <mergeCell ref="B42:F42"/>
    <mergeCell ref="B43:F43"/>
    <mergeCell ref="B36:F36"/>
    <mergeCell ref="B37:F37"/>
    <mergeCell ref="B38:F38"/>
    <mergeCell ref="B39:F39"/>
    <mergeCell ref="B48:F48"/>
    <mergeCell ref="B49:F49"/>
    <mergeCell ref="B50:F50"/>
    <mergeCell ref="B33:F33"/>
    <mergeCell ref="B34:F34"/>
    <mergeCell ref="B35:F35"/>
    <mergeCell ref="B28:F28"/>
    <mergeCell ref="B29:F29"/>
    <mergeCell ref="B30:F30"/>
    <mergeCell ref="B31:F31"/>
    <mergeCell ref="B40:F40"/>
    <mergeCell ref="B41:F41"/>
    <mergeCell ref="B24:F24"/>
    <mergeCell ref="B25:F25"/>
    <mergeCell ref="B26:F26"/>
    <mergeCell ref="B27:F27"/>
    <mergeCell ref="B20:F20"/>
    <mergeCell ref="B21:F21"/>
    <mergeCell ref="B22:F22"/>
    <mergeCell ref="B23:F23"/>
    <mergeCell ref="B32:F32"/>
    <mergeCell ref="B9:F9"/>
    <mergeCell ref="B10:F10"/>
    <mergeCell ref="B11:F11"/>
    <mergeCell ref="L21:M21"/>
    <mergeCell ref="G17:I17"/>
    <mergeCell ref="G18:I18"/>
    <mergeCell ref="G19:I19"/>
    <mergeCell ref="G20:I20"/>
    <mergeCell ref="G21:I21"/>
    <mergeCell ref="G15:I15"/>
    <mergeCell ref="B16:F16"/>
    <mergeCell ref="B17:F17"/>
    <mergeCell ref="B18:F18"/>
    <mergeCell ref="B19:F19"/>
    <mergeCell ref="B12:F12"/>
    <mergeCell ref="B13:F13"/>
    <mergeCell ref="B14:F14"/>
    <mergeCell ref="B15:F15"/>
    <mergeCell ref="J9:K9"/>
    <mergeCell ref="J10:K10"/>
    <mergeCell ref="L15:M15"/>
    <mergeCell ref="L16:M16"/>
    <mergeCell ref="J11:K11"/>
    <mergeCell ref="J12:K12"/>
    <mergeCell ref="L31:M31"/>
    <mergeCell ref="L32:M32"/>
    <mergeCell ref="L30:M30"/>
    <mergeCell ref="W17:X17"/>
    <mergeCell ref="AB42:AE43"/>
    <mergeCell ref="P26:T26"/>
    <mergeCell ref="P27:T27"/>
    <mergeCell ref="P17:T17"/>
    <mergeCell ref="P18:T18"/>
    <mergeCell ref="P19:T19"/>
    <mergeCell ref="P20:T20"/>
    <mergeCell ref="W18:X18"/>
    <mergeCell ref="W19:X19"/>
    <mergeCell ref="W24:X24"/>
    <mergeCell ref="W25:X25"/>
    <mergeCell ref="W26:X26"/>
    <mergeCell ref="L17:M17"/>
    <mergeCell ref="L18:M18"/>
    <mergeCell ref="L19:M19"/>
    <mergeCell ref="L20:M20"/>
    <mergeCell ref="L43:M43"/>
    <mergeCell ref="AA37:AC38"/>
    <mergeCell ref="AF42:AI43"/>
    <mergeCell ref="P21:T21"/>
    <mergeCell ref="P22:T22"/>
    <mergeCell ref="P24:T24"/>
    <mergeCell ref="P25:T25"/>
    <mergeCell ref="P42:S43"/>
    <mergeCell ref="T42:W43"/>
    <mergeCell ref="X42:AA43"/>
    <mergeCell ref="U25:V25"/>
    <mergeCell ref="U26:V26"/>
    <mergeCell ref="P35:T36"/>
    <mergeCell ref="G69:I69"/>
    <mergeCell ref="G51:I51"/>
    <mergeCell ref="G52:I52"/>
    <mergeCell ref="G45:I45"/>
    <mergeCell ref="G61:I61"/>
    <mergeCell ref="G70:I70"/>
    <mergeCell ref="G71:I71"/>
    <mergeCell ref="G65:I65"/>
    <mergeCell ref="G66:I66"/>
    <mergeCell ref="G67:I67"/>
    <mergeCell ref="G68:I68"/>
    <mergeCell ref="G54:I54"/>
    <mergeCell ref="G55:I55"/>
    <mergeCell ref="G56:I56"/>
    <mergeCell ref="G48:I48"/>
    <mergeCell ref="G49:I49"/>
    <mergeCell ref="G50:I50"/>
    <mergeCell ref="G64:I64"/>
    <mergeCell ref="G59:I59"/>
    <mergeCell ref="G60:I60"/>
    <mergeCell ref="G63:I63"/>
    <mergeCell ref="G57:I57"/>
    <mergeCell ref="G58:I58"/>
    <mergeCell ref="G62:I62"/>
    <mergeCell ref="G44:I44"/>
    <mergeCell ref="G35:I35"/>
    <mergeCell ref="G36:I36"/>
    <mergeCell ref="G37:I37"/>
    <mergeCell ref="G38:I38"/>
    <mergeCell ref="G39:I39"/>
    <mergeCell ref="G40:I40"/>
    <mergeCell ref="G46:I46"/>
    <mergeCell ref="G53:I53"/>
    <mergeCell ref="G41:I41"/>
    <mergeCell ref="G42:I42"/>
    <mergeCell ref="G43:I43"/>
    <mergeCell ref="G47:I47"/>
    <mergeCell ref="G33:I33"/>
    <mergeCell ref="G34:I34"/>
    <mergeCell ref="G23:I23"/>
    <mergeCell ref="G24:I24"/>
    <mergeCell ref="G25:I25"/>
    <mergeCell ref="G26:I26"/>
    <mergeCell ref="G27:I27"/>
    <mergeCell ref="G28:I28"/>
    <mergeCell ref="G29:I29"/>
    <mergeCell ref="G30:I30"/>
    <mergeCell ref="G31:I31"/>
    <mergeCell ref="G32:I32"/>
    <mergeCell ref="L28:M28"/>
    <mergeCell ref="L29:M29"/>
    <mergeCell ref="P13:T13"/>
    <mergeCell ref="P14:T14"/>
    <mergeCell ref="U13:V13"/>
    <mergeCell ref="U14:V14"/>
    <mergeCell ref="P15:T15"/>
    <mergeCell ref="P16:T16"/>
    <mergeCell ref="G22:I22"/>
    <mergeCell ref="L26:M26"/>
    <mergeCell ref="L22:M22"/>
    <mergeCell ref="L23:M23"/>
    <mergeCell ref="L24:M24"/>
    <mergeCell ref="L25:M25"/>
    <mergeCell ref="U15:V15"/>
    <mergeCell ref="U16:V16"/>
    <mergeCell ref="J13:K13"/>
    <mergeCell ref="J14:K14"/>
    <mergeCell ref="J15:K15"/>
    <mergeCell ref="J16:K16"/>
    <mergeCell ref="J18:K18"/>
    <mergeCell ref="J19:K19"/>
    <mergeCell ref="J20:K20"/>
    <mergeCell ref="J25:K25"/>
    <mergeCell ref="G16:I16"/>
    <mergeCell ref="G9:I9"/>
    <mergeCell ref="G11:I11"/>
    <mergeCell ref="G10:I10"/>
    <mergeCell ref="G12:I12"/>
    <mergeCell ref="G13:I13"/>
    <mergeCell ref="G14:I14"/>
    <mergeCell ref="U10:Y11"/>
    <mergeCell ref="L27:M27"/>
    <mergeCell ref="P10:T11"/>
    <mergeCell ref="W13:X13"/>
    <mergeCell ref="W14:X14"/>
    <mergeCell ref="W15:X15"/>
    <mergeCell ref="W16:X16"/>
    <mergeCell ref="J26:K26"/>
    <mergeCell ref="J27:K27"/>
  </mergeCells>
  <phoneticPr fontId="0" type="noConversion"/>
  <conditionalFormatting sqref="B9:F71">
    <cfRule type="expression" dxfId="5" priority="1" stopIfTrue="1">
      <formula>G9=""</formula>
    </cfRule>
  </conditionalFormatting>
  <conditionalFormatting sqref="G9:M71">
    <cfRule type="cellIs" dxfId="4" priority="2" stopIfTrue="1" operator="equal">
      <formula>""</formula>
    </cfRule>
  </conditionalFormatting>
  <conditionalFormatting sqref="P9:U9">
    <cfRule type="cellIs" dxfId="3" priority="3" stopIfTrue="1" operator="lessThan">
      <formula>0</formula>
    </cfRule>
  </conditionalFormatting>
  <conditionalFormatting sqref="V9:Y9">
    <cfRule type="expression" dxfId="2" priority="4" stopIfTrue="1">
      <formula>$P$9&lt;0</formula>
    </cfRule>
  </conditionalFormatting>
  <conditionalFormatting sqref="U7:Y8">
    <cfRule type="expression" dxfId="1" priority="5" stopIfTrue="1">
      <formula>$P$9&lt;0</formula>
    </cfRule>
  </conditionalFormatting>
  <conditionalFormatting sqref="AN42:AR43">
    <cfRule type="expression" dxfId="0" priority="6" stopIfTrue="1">
      <formula>$P$9&lt;0</formula>
    </cfRule>
  </conditionalFormatting>
  <dataValidations count="3">
    <dataValidation type="list" allowBlank="1" showInputMessage="1" showErrorMessage="1" sqref="AY35:AZ36">
      <formula1>"N,S"</formula1>
    </dataValidation>
    <dataValidation type="list" allowBlank="1" showInputMessage="1" showErrorMessage="1" sqref="AY37:AZ38">
      <formula1>"E,W"</formula1>
    </dataValidation>
    <dataValidation type="list" allowBlank="1" showInputMessage="1" showErrorMessage="1" sqref="AN42:AR43">
      <formula1>$B$9:$B$71</formula1>
    </dataValidation>
  </dataValidations>
  <printOptions horizontalCentered="1"/>
  <pageMargins left="0.39370078740157483" right="0.39370078740157483" top="0.39370078740157483" bottom="0.5" header="0.31496062992125984" footer="0.31496062992125984"/>
  <pageSetup paperSize="9" orientation="landscape" blackAndWhite="1" errors="blank" horizontalDpi="4294967294" r:id="rId1"/>
  <headerFooter alignWithMargins="0"/>
  <ignoredErrors>
    <ignoredError sqref="U16 W16 U18:Y22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B1:IK5746"/>
  <sheetViews>
    <sheetView workbookViewId="0">
      <selection activeCell="G12" sqref="G12"/>
    </sheetView>
  </sheetViews>
  <sheetFormatPr defaultRowHeight="13.2"/>
  <sheetData>
    <row r="1" spans="2:245" s="1" customFormat="1" ht="15" customHeight="1">
      <c r="B1" s="3" t="s">
        <v>79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CQ1" s="2"/>
      <c r="CR1" s="5"/>
      <c r="CS1" s="2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4"/>
      <c r="EC1" s="4"/>
      <c r="ED1" s="4"/>
      <c r="EE1" s="4"/>
      <c r="EF1" s="4"/>
      <c r="EG1" s="4"/>
      <c r="EH1" s="4"/>
      <c r="EI1" s="4"/>
      <c r="EJ1" s="4"/>
    </row>
    <row r="2" spans="2:245" s="1" customFormat="1" ht="15" customHeight="1"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0" t="s">
        <v>80</v>
      </c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CQ2" s="2"/>
      <c r="CR2" s="2"/>
      <c r="CS2" s="2"/>
      <c r="CW2" s="4"/>
      <c r="CX2" s="4"/>
      <c r="CY2" s="4"/>
      <c r="CZ2" s="4"/>
      <c r="DA2" s="4"/>
      <c r="DB2" s="4"/>
      <c r="DC2" s="4"/>
      <c r="DD2" s="50" t="s">
        <v>56</v>
      </c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1" t="s">
        <v>77</v>
      </c>
      <c r="EL2" s="51"/>
      <c r="EM2" s="51"/>
      <c r="EN2" s="51"/>
      <c r="EO2" s="51"/>
      <c r="EP2" s="51"/>
      <c r="EQ2" s="51"/>
      <c r="ER2" s="51"/>
      <c r="ES2" s="51"/>
      <c r="ET2" s="51"/>
      <c r="EU2" s="51"/>
      <c r="EV2" s="51"/>
      <c r="EW2" s="51"/>
      <c r="EX2" s="51"/>
      <c r="EY2" s="51"/>
      <c r="EZ2" s="51"/>
      <c r="FA2" s="51"/>
      <c r="FB2" s="51"/>
      <c r="FC2" s="51"/>
      <c r="FD2" s="51"/>
      <c r="FE2" s="51"/>
      <c r="FF2" s="51"/>
      <c r="FG2" s="51"/>
      <c r="FH2" s="51"/>
      <c r="FI2" s="51"/>
      <c r="FJ2" s="51"/>
      <c r="FK2" s="51"/>
      <c r="FL2" s="51"/>
      <c r="FM2" s="51"/>
      <c r="FN2" s="51"/>
      <c r="FO2" s="51"/>
      <c r="FP2" s="51"/>
      <c r="FQ2" s="51"/>
      <c r="FR2" s="51" t="s">
        <v>52</v>
      </c>
      <c r="FS2" s="51"/>
      <c r="FT2" s="51"/>
      <c r="FU2" s="51"/>
      <c r="FV2" s="51"/>
      <c r="FW2" s="51"/>
      <c r="FX2" s="51"/>
      <c r="FY2" s="51"/>
      <c r="FZ2" s="51"/>
      <c r="GA2" s="51"/>
      <c r="GB2" s="51"/>
      <c r="GC2" s="51"/>
      <c r="GD2" s="51"/>
      <c r="GE2" s="51"/>
      <c r="GF2" s="51"/>
      <c r="GG2" s="51"/>
      <c r="GH2" s="51"/>
      <c r="GI2" s="51"/>
      <c r="GJ2" s="51"/>
      <c r="GK2" s="51"/>
      <c r="GL2" s="51"/>
      <c r="GM2" s="51"/>
      <c r="GN2" s="51"/>
      <c r="GO2" s="51"/>
      <c r="GP2" s="51"/>
      <c r="GQ2" s="51"/>
      <c r="GR2" s="51"/>
      <c r="GS2" s="51"/>
      <c r="GT2" s="51"/>
      <c r="GU2" s="51"/>
      <c r="GV2" s="51"/>
      <c r="GW2" s="51"/>
      <c r="GX2" s="51"/>
      <c r="GY2" s="51"/>
      <c r="GZ2" s="51"/>
    </row>
    <row r="3" spans="2:245" s="1" customFormat="1" ht="15" customHeight="1">
      <c r="C3" s="1" t="s">
        <v>81</v>
      </c>
      <c r="D3" s="7" t="s">
        <v>82</v>
      </c>
      <c r="E3" s="1" t="s">
        <v>83</v>
      </c>
      <c r="F3" s="1" t="s">
        <v>84</v>
      </c>
      <c r="G3" s="1" t="s">
        <v>85</v>
      </c>
      <c r="H3" s="1" t="s">
        <v>86</v>
      </c>
      <c r="I3" s="1" t="s">
        <v>87</v>
      </c>
      <c r="J3" s="1" t="s">
        <v>88</v>
      </c>
      <c r="M3" s="1" t="s">
        <v>89</v>
      </c>
      <c r="N3" s="4" t="s">
        <v>90</v>
      </c>
      <c r="O3" s="4" t="s">
        <v>91</v>
      </c>
      <c r="P3" s="4" t="s">
        <v>92</v>
      </c>
      <c r="Q3" s="4" t="s">
        <v>93</v>
      </c>
      <c r="R3" s="4" t="s">
        <v>94</v>
      </c>
      <c r="S3" s="4" t="s">
        <v>95</v>
      </c>
      <c r="T3" s="4" t="s">
        <v>93</v>
      </c>
      <c r="U3" s="4" t="s">
        <v>96</v>
      </c>
      <c r="V3" s="4" t="s">
        <v>97</v>
      </c>
      <c r="W3" s="4" t="s">
        <v>91</v>
      </c>
      <c r="X3" s="4" t="s">
        <v>98</v>
      </c>
      <c r="Y3" s="4" t="s">
        <v>99</v>
      </c>
      <c r="Z3" s="4" t="s">
        <v>100</v>
      </c>
      <c r="AA3" s="4" t="s">
        <v>2</v>
      </c>
      <c r="AB3" s="4" t="s">
        <v>93</v>
      </c>
      <c r="AC3" s="4" t="s">
        <v>101</v>
      </c>
      <c r="AD3" s="4" t="s">
        <v>102</v>
      </c>
      <c r="AE3" s="4" t="s">
        <v>103</v>
      </c>
      <c r="AF3" s="4" t="s">
        <v>104</v>
      </c>
      <c r="AG3" s="4" t="s">
        <v>105</v>
      </c>
      <c r="AH3" s="4" t="s">
        <v>106</v>
      </c>
      <c r="AI3" s="4" t="s">
        <v>107</v>
      </c>
      <c r="AJ3" s="4" t="s">
        <v>108</v>
      </c>
      <c r="AK3" s="4" t="s">
        <v>109</v>
      </c>
      <c r="AL3" s="4" t="s">
        <v>110</v>
      </c>
      <c r="AM3" s="4" t="s">
        <v>111</v>
      </c>
      <c r="AN3" s="4" t="s">
        <v>112</v>
      </c>
      <c r="AO3" s="4" t="s">
        <v>113</v>
      </c>
      <c r="AP3" s="4" t="s">
        <v>114</v>
      </c>
      <c r="AQ3" s="4" t="s">
        <v>115</v>
      </c>
      <c r="AR3" s="4" t="s">
        <v>116</v>
      </c>
      <c r="AS3" s="4" t="s">
        <v>117</v>
      </c>
      <c r="AT3" s="4" t="s">
        <v>118</v>
      </c>
      <c r="AU3" s="4" t="s">
        <v>119</v>
      </c>
      <c r="AV3" s="4" t="s">
        <v>120</v>
      </c>
      <c r="AW3" s="4" t="s">
        <v>121</v>
      </c>
      <c r="AX3" s="4" t="s">
        <v>122</v>
      </c>
      <c r="AY3" s="4" t="s">
        <v>123</v>
      </c>
      <c r="AZ3" s="4" t="s">
        <v>124</v>
      </c>
      <c r="BA3" s="4" t="s">
        <v>125</v>
      </c>
      <c r="BB3" s="4" t="s">
        <v>126</v>
      </c>
      <c r="BC3" s="4" t="s">
        <v>127</v>
      </c>
      <c r="BD3" s="1" t="s">
        <v>128</v>
      </c>
      <c r="BE3" s="1" t="s">
        <v>129</v>
      </c>
      <c r="BF3" s="1" t="s">
        <v>130</v>
      </c>
      <c r="BG3" s="1" t="s">
        <v>131</v>
      </c>
      <c r="BH3" s="1" t="s">
        <v>132</v>
      </c>
      <c r="BI3" s="1" t="s">
        <v>133</v>
      </c>
      <c r="BJ3" s="1" t="s">
        <v>134</v>
      </c>
      <c r="BK3" s="1" t="s">
        <v>135</v>
      </c>
      <c r="BL3" s="1" t="s">
        <v>136</v>
      </c>
      <c r="BM3" s="1" t="s">
        <v>137</v>
      </c>
      <c r="BN3" s="1" t="s">
        <v>138</v>
      </c>
      <c r="BO3" s="1" t="s">
        <v>139</v>
      </c>
      <c r="BP3" s="1" t="s">
        <v>140</v>
      </c>
      <c r="BQ3" s="1" t="s">
        <v>141</v>
      </c>
      <c r="BR3" s="1" t="s">
        <v>142</v>
      </c>
      <c r="BS3" s="1" t="s">
        <v>126</v>
      </c>
      <c r="BT3" s="1" t="s">
        <v>143</v>
      </c>
      <c r="BU3" s="1" t="s">
        <v>144</v>
      </c>
      <c r="BV3" s="1" t="s">
        <v>145</v>
      </c>
      <c r="BW3" s="1" t="s">
        <v>146</v>
      </c>
      <c r="BX3" s="1" t="s">
        <v>147</v>
      </c>
      <c r="BY3" s="1" t="s">
        <v>148</v>
      </c>
      <c r="BZ3" s="1" t="s">
        <v>149</v>
      </c>
      <c r="CA3" s="1" t="s">
        <v>150</v>
      </c>
      <c r="CB3" s="1" t="s">
        <v>151</v>
      </c>
      <c r="CC3" s="1" t="s">
        <v>152</v>
      </c>
      <c r="CD3" s="1" t="s">
        <v>153</v>
      </c>
      <c r="CE3" s="1" t="s">
        <v>154</v>
      </c>
      <c r="CF3" s="1" t="s">
        <v>155</v>
      </c>
      <c r="CG3" s="1" t="s">
        <v>156</v>
      </c>
      <c r="CH3" s="1" t="s">
        <v>157</v>
      </c>
      <c r="CI3" s="1" t="s">
        <v>158</v>
      </c>
      <c r="CJ3" s="1" t="s">
        <v>159</v>
      </c>
      <c r="CK3" s="1" t="s">
        <v>160</v>
      </c>
      <c r="CL3" s="1" t="s">
        <v>161</v>
      </c>
      <c r="CM3" s="1" t="s">
        <v>162</v>
      </c>
      <c r="CN3" s="1" t="s">
        <v>163</v>
      </c>
      <c r="CO3" s="1" t="s">
        <v>164</v>
      </c>
      <c r="CP3" s="1" t="s">
        <v>165</v>
      </c>
      <c r="CQ3" s="1" t="s">
        <v>166</v>
      </c>
      <c r="CR3" s="1" t="s">
        <v>167</v>
      </c>
      <c r="CS3" s="2" t="s">
        <v>138</v>
      </c>
      <c r="CT3" s="6" t="s">
        <v>168</v>
      </c>
      <c r="CU3" s="6" t="s">
        <v>169</v>
      </c>
      <c r="CV3" s="6" t="s">
        <v>170</v>
      </c>
      <c r="CW3" s="6" t="s">
        <v>122</v>
      </c>
      <c r="CX3" s="6" t="s">
        <v>123</v>
      </c>
      <c r="CY3" s="6" t="s">
        <v>124</v>
      </c>
      <c r="CZ3" s="6" t="s">
        <v>171</v>
      </c>
      <c r="DA3" s="6" t="s">
        <v>126</v>
      </c>
      <c r="DB3" s="6" t="s">
        <v>172</v>
      </c>
      <c r="DC3" s="6" t="s">
        <v>173</v>
      </c>
      <c r="DD3" s="6" t="s">
        <v>174</v>
      </c>
      <c r="DE3" s="6" t="s">
        <v>175</v>
      </c>
      <c r="DF3" s="6" t="s">
        <v>176</v>
      </c>
      <c r="DG3" s="6" t="s">
        <v>177</v>
      </c>
      <c r="DH3" s="6" t="s">
        <v>178</v>
      </c>
      <c r="DI3" s="6" t="s">
        <v>179</v>
      </c>
      <c r="DJ3" s="4" t="s">
        <v>180</v>
      </c>
      <c r="DK3" s="4" t="s">
        <v>181</v>
      </c>
      <c r="DL3" s="4" t="s">
        <v>182</v>
      </c>
      <c r="DM3" s="4" t="s">
        <v>183</v>
      </c>
      <c r="DN3" s="4" t="s">
        <v>184</v>
      </c>
      <c r="DO3" s="4" t="s">
        <v>185</v>
      </c>
      <c r="DP3" s="4" t="s">
        <v>186</v>
      </c>
      <c r="DQ3" s="4" t="s">
        <v>187</v>
      </c>
      <c r="DR3" s="4" t="s">
        <v>188</v>
      </c>
      <c r="DS3" s="4" t="s">
        <v>126</v>
      </c>
      <c r="DT3" s="4" t="s">
        <v>189</v>
      </c>
      <c r="DU3" s="4" t="s">
        <v>190</v>
      </c>
      <c r="DV3" s="6" t="s">
        <v>139</v>
      </c>
      <c r="DW3" s="6" t="s">
        <v>140</v>
      </c>
      <c r="DX3" s="6" t="s">
        <v>141</v>
      </c>
      <c r="DY3" s="6" t="s">
        <v>120</v>
      </c>
      <c r="DZ3" s="6" t="s">
        <v>121</v>
      </c>
      <c r="EA3" s="6" t="s">
        <v>168</v>
      </c>
      <c r="EB3" s="6" t="s">
        <v>169</v>
      </c>
      <c r="EC3" s="6" t="s">
        <v>170</v>
      </c>
      <c r="ED3" s="6" t="s">
        <v>122</v>
      </c>
      <c r="EE3" s="6" t="s">
        <v>123</v>
      </c>
      <c r="EF3" s="6" t="s">
        <v>124</v>
      </c>
      <c r="EG3" s="6" t="s">
        <v>191</v>
      </c>
      <c r="EH3" s="4"/>
      <c r="EI3" s="4" t="s">
        <v>192</v>
      </c>
      <c r="EJ3" s="4" t="s">
        <v>173</v>
      </c>
      <c r="EK3" s="1" t="s">
        <v>193</v>
      </c>
      <c r="EL3" s="1" t="s">
        <v>194</v>
      </c>
      <c r="EM3" s="1" t="s">
        <v>195</v>
      </c>
      <c r="EN3" s="1" t="s">
        <v>104</v>
      </c>
      <c r="EO3" s="1" t="s">
        <v>93</v>
      </c>
      <c r="EP3" s="1" t="s">
        <v>196</v>
      </c>
      <c r="EQ3" s="1" t="s">
        <v>2</v>
      </c>
      <c r="ER3" s="1" t="s">
        <v>115</v>
      </c>
      <c r="ES3" s="1" t="s">
        <v>116</v>
      </c>
      <c r="ET3" s="1" t="s">
        <v>197</v>
      </c>
      <c r="EU3" s="1" t="s">
        <v>198</v>
      </c>
      <c r="EV3" s="1" t="s">
        <v>139</v>
      </c>
      <c r="EW3" s="1" t="s">
        <v>140</v>
      </c>
      <c r="EX3" s="1" t="s">
        <v>141</v>
      </c>
      <c r="EY3" s="1" t="s">
        <v>199</v>
      </c>
      <c r="EZ3" s="1" t="s">
        <v>126</v>
      </c>
      <c r="FA3" s="1" t="s">
        <v>143</v>
      </c>
      <c r="FB3" s="1" t="s">
        <v>190</v>
      </c>
      <c r="FC3" s="2" t="s">
        <v>139</v>
      </c>
      <c r="FD3" s="6" t="s">
        <v>140</v>
      </c>
      <c r="FE3" s="6" t="s">
        <v>141</v>
      </c>
      <c r="FF3" s="6" t="s">
        <v>120</v>
      </c>
      <c r="FG3" s="6" t="s">
        <v>121</v>
      </c>
      <c r="FH3" s="6" t="s">
        <v>168</v>
      </c>
      <c r="FI3" s="6" t="s">
        <v>169</v>
      </c>
      <c r="FJ3" s="6" t="s">
        <v>170</v>
      </c>
      <c r="FK3" s="6" t="s">
        <v>122</v>
      </c>
      <c r="FL3" s="6" t="s">
        <v>123</v>
      </c>
      <c r="FM3" s="6" t="s">
        <v>124</v>
      </c>
      <c r="FN3" s="6" t="s">
        <v>200</v>
      </c>
      <c r="FP3" s="1" t="s">
        <v>201</v>
      </c>
      <c r="FQ3" s="1" t="s">
        <v>173</v>
      </c>
      <c r="FR3" s="1" t="s">
        <v>193</v>
      </c>
      <c r="FS3" s="1" t="s">
        <v>194</v>
      </c>
      <c r="FT3" s="1" t="s">
        <v>195</v>
      </c>
      <c r="FU3" s="1" t="s">
        <v>104</v>
      </c>
      <c r="FV3" s="1" t="s">
        <v>93</v>
      </c>
      <c r="FW3" s="1" t="s">
        <v>196</v>
      </c>
      <c r="FX3" s="1" t="s">
        <v>2</v>
      </c>
      <c r="FY3" s="1" t="s">
        <v>115</v>
      </c>
      <c r="FZ3" s="1" t="s">
        <v>116</v>
      </c>
      <c r="GA3" s="1" t="s">
        <v>197</v>
      </c>
      <c r="GB3" s="1" t="s">
        <v>198</v>
      </c>
      <c r="GC3" s="1" t="s">
        <v>139</v>
      </c>
      <c r="GD3" s="1" t="s">
        <v>140</v>
      </c>
      <c r="GE3" s="1" t="s">
        <v>141</v>
      </c>
      <c r="GF3" s="1" t="s">
        <v>202</v>
      </c>
      <c r="GG3" s="1" t="s">
        <v>203</v>
      </c>
      <c r="GH3" s="1" t="s">
        <v>199</v>
      </c>
      <c r="GI3" s="1" t="s">
        <v>126</v>
      </c>
      <c r="GJ3" s="1" t="s">
        <v>143</v>
      </c>
      <c r="GK3" s="1" t="s">
        <v>190</v>
      </c>
      <c r="GL3" s="2" t="s">
        <v>139</v>
      </c>
      <c r="GM3" s="6" t="s">
        <v>140</v>
      </c>
      <c r="GN3" s="6" t="s">
        <v>141</v>
      </c>
      <c r="GO3" s="6" t="s">
        <v>120</v>
      </c>
      <c r="GP3" s="6" t="s">
        <v>121</v>
      </c>
      <c r="GQ3" s="6" t="s">
        <v>168</v>
      </c>
      <c r="GR3" s="6" t="s">
        <v>169</v>
      </c>
      <c r="GS3" s="6" t="s">
        <v>170</v>
      </c>
      <c r="GT3" s="6" t="s">
        <v>122</v>
      </c>
      <c r="GU3" s="6" t="s">
        <v>123</v>
      </c>
      <c r="GV3" s="6" t="s">
        <v>124</v>
      </c>
      <c r="GW3" s="6" t="s">
        <v>200</v>
      </c>
      <c r="GY3" s="1" t="s">
        <v>201</v>
      </c>
      <c r="GZ3" s="1" t="s">
        <v>173</v>
      </c>
      <c r="HA3" s="1" t="s">
        <v>193</v>
      </c>
      <c r="HB3" s="1" t="s">
        <v>194</v>
      </c>
      <c r="HC3" s="1" t="s">
        <v>195</v>
      </c>
      <c r="HD3" s="1" t="s">
        <v>104</v>
      </c>
      <c r="HE3" s="1" t="s">
        <v>93</v>
      </c>
      <c r="HF3" s="1" t="s">
        <v>196</v>
      </c>
      <c r="HG3" s="1" t="s">
        <v>2</v>
      </c>
      <c r="HH3" s="1" t="s">
        <v>115</v>
      </c>
      <c r="HI3" s="1" t="s">
        <v>116</v>
      </c>
      <c r="HJ3" s="1" t="s">
        <v>197</v>
      </c>
      <c r="HK3" s="1" t="s">
        <v>198</v>
      </c>
      <c r="HL3" s="1" t="s">
        <v>139</v>
      </c>
      <c r="HM3" s="1" t="s">
        <v>140</v>
      </c>
      <c r="HN3" s="1" t="s">
        <v>141</v>
      </c>
      <c r="HO3" s="1" t="s">
        <v>202</v>
      </c>
      <c r="HP3" s="1" t="s">
        <v>203</v>
      </c>
      <c r="HQ3" s="1" t="s">
        <v>199</v>
      </c>
      <c r="HR3" s="1" t="s">
        <v>126</v>
      </c>
      <c r="HS3" s="1" t="s">
        <v>204</v>
      </c>
      <c r="HT3" s="1" t="s">
        <v>205</v>
      </c>
      <c r="HU3" s="1" t="s">
        <v>143</v>
      </c>
      <c r="HV3" s="1" t="s">
        <v>190</v>
      </c>
      <c r="HW3" s="2" t="s">
        <v>139</v>
      </c>
      <c r="HX3" s="6" t="s">
        <v>140</v>
      </c>
      <c r="HY3" s="6" t="s">
        <v>141</v>
      </c>
      <c r="HZ3" s="6" t="s">
        <v>120</v>
      </c>
      <c r="IA3" s="6" t="s">
        <v>121</v>
      </c>
      <c r="IB3" s="6" t="s">
        <v>168</v>
      </c>
      <c r="IC3" s="6" t="s">
        <v>169</v>
      </c>
      <c r="ID3" s="6" t="s">
        <v>170</v>
      </c>
      <c r="IE3" s="6" t="s">
        <v>122</v>
      </c>
      <c r="IF3" s="6" t="s">
        <v>123</v>
      </c>
      <c r="IG3" s="6" t="s">
        <v>124</v>
      </c>
      <c r="IH3" s="6" t="s">
        <v>200</v>
      </c>
      <c r="IJ3" s="1" t="s">
        <v>201</v>
      </c>
      <c r="IK3" s="1" t="s">
        <v>173</v>
      </c>
    </row>
    <row r="4" spans="2:245" s="1" customFormat="1" ht="15" customHeight="1">
      <c r="B4" s="8" t="s">
        <v>18</v>
      </c>
      <c r="C4" s="1">
        <f>(2+58/60+16/3600)</f>
        <v>2.971111111111111</v>
      </c>
      <c r="D4" s="1">
        <f>-40-18.6/60</f>
        <v>-40.31</v>
      </c>
      <c r="E4" s="9">
        <f>MOD(360-(C4+((3.075+1.336*SIN(RADIANS(C4))*TAN(RADIANS(D4)))*(OBSERVATIONS!$U$35-36526)/365)/3600)*15,360)</f>
        <v>315.20250049119772</v>
      </c>
      <c r="F4" s="9">
        <f>D4+(20.04*COS(RADIANS(C4*15))*(OBSERVATIONS!$U$35-36526)/365)/3600</f>
        <v>-40.237158102239739</v>
      </c>
      <c r="G4" s="9">
        <f>-17.3*SIN(RADIANS(125-0.05295*(OBSERVATIONS!$U$35-2451545)))-1.4*SIN(RADIANS(200+1.97129*(OBSERVATIONS!$U$35-2451545)))</f>
        <v>6.6308035321601082</v>
      </c>
      <c r="H4" s="9">
        <f>9.4*COS(RADIANS(125-0.05295*(OBSERVATIONS!$U$35-2451545)))+0.7*COS(RADIANS(200+1.97129*(OBSERVATIONS!$U$35-2451545)))</f>
        <v>-7.9109288482141293</v>
      </c>
      <c r="I4" s="10">
        <f t="shared" ref="I4:I35" si="0">E4+(0.9175+0.3978*SIN(RADIANS(C4*15)*TAN(RADIANS(D4)))*G4-COS(RADIANS(C4*15))*TAN(RADIANS(D4))*H4)/3600</f>
        <v>315.20097802378541</v>
      </c>
      <c r="J4" s="10">
        <f t="shared" ref="J4:J35" si="1">F4+(0.3978*COS(RADIANS(C4*15))*G4+SIN(RADIANS(C4))*H4)/3600</f>
        <v>-40.236749999588838</v>
      </c>
      <c r="K4" s="11">
        <f>-36525+OBSERVATIONS!$U$35-1.5+(OBSERVATIONS!U37+OBSERVATIONS!X37/60+OBSERVATIONS!AA37/3600)/24</f>
        <v>6704.1280092592597</v>
      </c>
      <c r="L4" s="11">
        <f>360-MOD(280.46061837+360.98564736629*(K4),360)</f>
        <v>265.54993269918486</v>
      </c>
      <c r="M4" s="1">
        <f>K4/36525</f>
        <v>0.18354902147184832</v>
      </c>
      <c r="N4" s="4">
        <f>MOD(125.04452-1934.136261*M4,360)</f>
        <v>130.03570190023058</v>
      </c>
      <c r="O4" s="4">
        <f>MOD(280.4665+36000.7698*M4,360)</f>
        <v>48.372569023269534</v>
      </c>
      <c r="P4" s="4">
        <f>MOD(218.3165+481267.8813*M4,360)</f>
        <v>354.5651784446527</v>
      </c>
      <c r="Q4" s="4">
        <f>MOD(23.4393-0.0000003563*K4,360)</f>
        <v>23.436911319190301</v>
      </c>
      <c r="R4" s="4">
        <f>-(17.2*SIN(RADIANS(N4))-1.32*SIN(RADIANS(2*O4))-0.23*SIN(RADIANS(2*P4))+0.21*SIN(RADIANS(2*N4)))</f>
        <v>-11.694726577193634</v>
      </c>
      <c r="S4" s="4">
        <f>9.2*COS(RADIANS(N4))+0.57*COS(RADIANS(2*O4))+0.1*COS(RADIANS(2*P4))-0.09*COS(RADIANS(2*N4))</f>
        <v>-5.871260876290993</v>
      </c>
      <c r="T4" s="4">
        <f>S4+Q4</f>
        <v>17.565650442899308</v>
      </c>
      <c r="U4" s="4">
        <f>R4*COS(RADIANS(T4))/3600</f>
        <v>-3.0970617193725363E-3</v>
      </c>
      <c r="V4" s="4">
        <f>MOD(360-L4-U4,360)</f>
        <v>94.453164362534508</v>
      </c>
      <c r="W4" s="4">
        <f>MOD(280.461+0.9856474*K4,360)</f>
        <v>48.36734159356547</v>
      </c>
      <c r="X4" s="4">
        <f>MOD(357.528+35999.05*M4,360)</f>
        <v>125.11840141614175</v>
      </c>
      <c r="Y4" s="4">
        <f>1.915*SIN(RADIANS(X4))+0.02*SIN(RADIANS(2*X4))</f>
        <v>1.5475810185706174</v>
      </c>
      <c r="Z4" s="4">
        <f>W4+Y4</f>
        <v>49.914922612136088</v>
      </c>
      <c r="AA4" s="4">
        <f>-Y4+2.466*SIN(RADIANS(2*Z4))-0.053*SIN(RADIANS(4*Z4))</f>
        <v>0.90004682905911082</v>
      </c>
      <c r="AB4" s="4">
        <f>Q4</f>
        <v>23.436911319190301</v>
      </c>
      <c r="AC4" s="4">
        <f>DEGREES(ASIN(SIN(RADIANS(AB4))*SIN(RADIANS(Z4))))</f>
        <v>17.716405528161928</v>
      </c>
      <c r="AD4" s="4">
        <f>COS(RADIANS(AB4))*SIN(RADIANS(Z4))</f>
        <v>0.70196819830665824</v>
      </c>
      <c r="AE4" s="4">
        <f>COS(RADIANS(Z4))</f>
        <v>0.64392438512127681</v>
      </c>
      <c r="AF4" s="4">
        <f>MOD(IF(AE4&lt;0,DEGREES(ATAN(AD4/AE4))+180,DEGREES(ATAN(AD4/AE4))),360)</f>
        <v>47.469443737428946</v>
      </c>
      <c r="AG4" s="4">
        <f>180-L4</f>
        <v>-85.549932699184865</v>
      </c>
      <c r="AH4" s="4">
        <f>MOD(AG4-AF4+180,360)</f>
        <v>46.980623563386189</v>
      </c>
      <c r="AI4" s="4">
        <v>0</v>
      </c>
      <c r="AJ4" s="12">
        <v>0</v>
      </c>
      <c r="AK4" s="12">
        <f>RADIANS(282.9404+0.0000470935*(K4+1.5))</f>
        <v>4.9437531682063653</v>
      </c>
      <c r="AL4" s="4">
        <v>1</v>
      </c>
      <c r="AM4" s="12">
        <f>0.016709-0.000000001151*(K4+1.5)</f>
        <v>1.6701281822161344E-2</v>
      </c>
      <c r="AN4" s="12">
        <f>MOD(RADIANS(356.047+0.9856002585*(K4+1.5)),2*PI())</f>
        <v>2.1836808992571477</v>
      </c>
      <c r="AO4" s="12">
        <f>AN4+AM4*SIN(AN4)*(1+AM4*COS(AN4))</f>
        <v>2.1972111692583649</v>
      </c>
      <c r="AP4" s="12">
        <f>RADIANS(MOD(23.4393-0.0000003563*(K4+1.5),360))</f>
        <v>0.4090512596898862</v>
      </c>
      <c r="AQ4" s="12">
        <f>COS(AO4)-AM4</f>
        <v>-0.60294535381992753</v>
      </c>
      <c r="AR4" s="12">
        <f>SQRT(1-AM4*AM4)*SIN(AO4)</f>
        <v>0.81002149320357908</v>
      </c>
      <c r="AS4" s="4">
        <f>MOD(RADIANS(IF(AQ4&gt;0,DEGREES(ATAN(AR4/AQ4)),IF(AQ4=0,IF(AR4&lt;0,-90,90),DEGREES(ATAN(AR4/AQ4))+180))),2*PI())</f>
        <v>2.2106762696655289</v>
      </c>
      <c r="AT4" s="12">
        <f>SQRT(AQ4*AQ4+AR4*AR4)</f>
        <v>1.0097910274630062</v>
      </c>
      <c r="AU4" s="13">
        <f>AS4+AK4</f>
        <v>7.1544294378718938</v>
      </c>
      <c r="AV4" s="12">
        <f>AT4*COS(AU4)</f>
        <v>0.65017932236023579</v>
      </c>
      <c r="AW4" s="4">
        <f>AT4*SIN(AU4)</f>
        <v>0.77262200843619411</v>
      </c>
      <c r="AX4" s="12">
        <f>AV4</f>
        <v>0.65017932236023579</v>
      </c>
      <c r="AY4" s="4">
        <f>AW4*COS(AP4)</f>
        <v>0.70887960082703483</v>
      </c>
      <c r="AZ4" s="4">
        <f>AW4*SIN(AP4)</f>
        <v>0.30730193531977984</v>
      </c>
      <c r="BA4" s="4">
        <f>DEGREES(MOD(RADIANS(IF(AX4&gt;0,DEGREES(ATAN(AY4/AX4)),IF(AX4=0,IF(AY4&lt;0,-90,90),DEGREES(ATAN(AY4/AX4))+180))),PI()))</f>
        <v>47.473173939336377</v>
      </c>
      <c r="BB4" s="4">
        <f>SQRT(AX4*AX4+AY4*AY4)</f>
        <v>0.96189575302810837</v>
      </c>
      <c r="BC4" s="4">
        <f>DEGREES(RADIANS(IF(BB4&gt;0,DEGREES(ATAN(AZ4/BB4)),IF(BB4=0,IF(AZ4&lt;0,-90,90),DEGREES(ATAN(AZ4/BB4))+180))))</f>
        <v>17.717396942480931</v>
      </c>
      <c r="BD4" s="10">
        <f>RADIANS(125.1228-0.0529538083*(K4+1.5))</f>
        <v>-4.0136593321139387</v>
      </c>
      <c r="BE4" s="1">
        <f>RADIANS(5.1454)</f>
        <v>8.9804171332116239E-2</v>
      </c>
      <c r="BF4" s="10">
        <f>RADIANS(318.0634+0.1643573223*(K4+1.5))</f>
        <v>24.786859974868864</v>
      </c>
      <c r="BG4" s="1">
        <f>60.2666</f>
        <v>60.266599999999997</v>
      </c>
      <c r="BH4" s="10">
        <f>0.0549</f>
        <v>5.4899999999999997E-2</v>
      </c>
      <c r="BI4" s="10">
        <f>MOD(RADIANS(115.3654+13.0649929509*(K4+1.5)),2*PI())</f>
        <v>4.2646783830567117</v>
      </c>
      <c r="BJ4" s="10">
        <f>BI4+BH4*SIN(BI4)*(1+BH4*COS(BI4))</f>
        <v>4.2163654726249442</v>
      </c>
      <c r="BK4" s="10">
        <f>BG4*(COS(BJ4)-BH4)</f>
        <v>-31.991443252577341</v>
      </c>
      <c r="BL4" s="10">
        <f>BG4*(SQRT(1-BH4*BH4)*SIN(BJ4))</f>
        <v>-52.923456284122224</v>
      </c>
      <c r="BM4" s="1">
        <f>MOD(RADIANS(IF(BK4&gt;0,DEGREES(ATAN(BL4/BK4)),IF(BK4=0,IF(BL4&lt;0,-90,90),DEGREES(ATAN(BL4/BK4))+180))),2*PI())</f>
        <v>4.1686781025890802</v>
      </c>
      <c r="BN4" s="10">
        <f>SQRT(BK4*BK4+BL4*BL4)</f>
        <v>61.841286099500486</v>
      </c>
      <c r="BO4" s="10">
        <f>BN4*(COS(BD4)*COS(BM4+BF4)-SIN(BD4)*SIN(BM4+BF4)*COS(BE4))</f>
        <v>60.598154815925199</v>
      </c>
      <c r="BP4" s="10">
        <f>BN4*(SIN(BD4)*COS(BM4+BF4)+COS(BD4)*SIN(BM4+BF4)*COS(BE4))</f>
        <v>-11.83259374325746</v>
      </c>
      <c r="BQ4" s="10">
        <f>BN4*(SIN(BM4+BF4)*SIN(BE4))</f>
        <v>-3.4925670576894734</v>
      </c>
      <c r="BR4" s="1">
        <f>DEGREES(RADIANS(IF(BO4&gt;0,DEGREES(ATAN(BP4/BO4)),IF(BO4=0,IF(BP4&lt;0,-90,90),DEGREES(ATAN(BP4/BO4))+180))))</f>
        <v>-11.048739865378066</v>
      </c>
      <c r="BS4" s="1">
        <f>SQRT(BO4*BO4+BP4*BP4)</f>
        <v>61.742583698674402</v>
      </c>
      <c r="BT4" s="1">
        <f>DEGREES(RADIANS(IF(BS4&gt;0,DEGREES(ATAN(BQ4/BS4)),IF(BS4=0,IF(BQ4&lt;0,-90,90),DEGREES(ATAN(BQ4/BS4))+180))))</f>
        <v>-3.2375763003936662</v>
      </c>
      <c r="BU4" s="1">
        <f>AN4+AK4</f>
        <v>7.127434067463513</v>
      </c>
      <c r="BV4" s="1">
        <f>BI4+BF4+BD4</f>
        <v>25.037879025811637</v>
      </c>
      <c r="BW4" s="1">
        <f>BV4-BU4</f>
        <v>17.910444958348123</v>
      </c>
      <c r="BX4" s="10">
        <f>BV4-BD4</f>
        <v>29.051538357925576</v>
      </c>
      <c r="BY4" s="1">
        <f>-1.274*SIN(BI4-2*BW4)</f>
        <v>0.17813745550901394</v>
      </c>
      <c r="BZ4" s="10">
        <f>BY4+0.658*SIN(2*BW4)</f>
        <v>-0.44901271212756599</v>
      </c>
      <c r="CA4" s="10">
        <f>BZ4-0.186*SIN(AN4)</f>
        <v>-0.6011592487526719</v>
      </c>
      <c r="CB4" s="10">
        <f>CA4-0.059*SIN(2*BI4-2*BW4)</f>
        <v>-0.55206805201930198</v>
      </c>
      <c r="CC4" s="10">
        <f>CB4-0.057*SIN(BI4-2*BW4+AN4)</f>
        <v>-0.60282016603964439</v>
      </c>
      <c r="CD4" s="10">
        <f>CC4+0.053*SIN(BI4+2*BW4)</f>
        <v>-0.56649460995581835</v>
      </c>
      <c r="CE4" s="10">
        <f>CD4+0.046*SIN(2*BW4-AN4)</f>
        <v>-0.52988829340471688</v>
      </c>
      <c r="CF4" s="10">
        <f>CE4+0.041*SIN(BI4-AN4)</f>
        <v>-0.49410979552635037</v>
      </c>
      <c r="CG4" s="10">
        <f>CF4-0.035*SIN(BW4)</f>
        <v>-0.46586362519394431</v>
      </c>
      <c r="CH4" s="10">
        <f>CG4-0.031*SIN(BI4+AN4)</f>
        <v>-0.47096076735780484</v>
      </c>
      <c r="CI4" s="10">
        <f>CH4-0.015*SIN(2*BX4-2*BW4)</f>
        <v>-0.46665656321842197</v>
      </c>
      <c r="CJ4" s="10">
        <f>CI4+0.011*SIN(BI4-4*BW4)</f>
        <v>-0.45580985375360422</v>
      </c>
      <c r="CK4" s="1">
        <f>RADIANS(CJ4+BR4)</f>
        <v>-0.20079227155823653</v>
      </c>
      <c r="CL4" s="10">
        <f>-0.173*SIN(BX4-2*BW4)</f>
        <v>8.0832484660743872E-2</v>
      </c>
      <c r="CM4" s="10">
        <f>CL4-0.055*SIN(BI4-BX4-2*BW4)</f>
        <v>3.7158184389175404E-2</v>
      </c>
      <c r="CN4" s="10">
        <f>CM4-0.046*SIN(BI4+BX4-2*BW4)</f>
        <v>6.4515384335649767E-2</v>
      </c>
      <c r="CO4" s="10">
        <f>CN4+0.033*SIN(BX4+2*BW4)</f>
        <v>9.3940441879194161E-2</v>
      </c>
      <c r="CP4" s="10">
        <f>CO4+0.017*SIN(2*BI4+BX4)</f>
        <v>9.1935435339801114E-2</v>
      </c>
      <c r="CQ4" s="1">
        <f>RADIANS(CP4+BT4)</f>
        <v>-5.490179018047258E-2</v>
      </c>
      <c r="CR4" s="10">
        <f>BN4-0.58*COS(BI4-2*BW4)</f>
        <v>61.266983911315329</v>
      </c>
      <c r="CS4" s="10">
        <f>CR4-0.46*COS(2*BW4)</f>
        <v>61.406182643863502</v>
      </c>
      <c r="CT4" s="10">
        <f>CS4*COS(CK4)*COS(CQ4)</f>
        <v>60.081799718245065</v>
      </c>
      <c r="CU4" s="10">
        <f>CS4*SIN(CK4)*COS(CQ4)</f>
        <v>-12.228748819893575</v>
      </c>
      <c r="CV4" s="10">
        <f>CS4*SIN(CQ4)</f>
        <v>-3.3696159733955526</v>
      </c>
      <c r="CW4" s="4">
        <f>CT4</f>
        <v>60.081799718245065</v>
      </c>
      <c r="CX4" s="4">
        <f>CU4*COS(AP4)-CV4*SIN(AP4)</f>
        <v>-9.8796319400752761</v>
      </c>
      <c r="CY4" s="12">
        <f>CU4*SIN(AP4)+CV4*COS(AP4)</f>
        <v>-7.9554687000110409</v>
      </c>
      <c r="CZ4" s="4">
        <f>DEGREES(RADIANS(IF(CW4&gt;0,DEGREES(ATAN(CX4/CW4)),IF(CW4=0,IF(CX4&lt;0,-90,90),DEGREES(ATAN(CX4/CW4))+180))))</f>
        <v>-9.3379434957206211</v>
      </c>
      <c r="DA4" s="4">
        <f>SQRT(CW4*CW4+CX4*CX4)</f>
        <v>60.888667128248656</v>
      </c>
      <c r="DB4" s="4">
        <f>DEGREES(RADIANS(IF(DA4&gt;0,DEGREES(ATAN(CY4/DA4)),IF(DA4=0,IF(CY4&lt;0,-90,90),DEGREES(ATAN(CY4/DA4))+180))))</f>
        <v>-7.4438694898465041</v>
      </c>
      <c r="DC4" s="4">
        <f>MOD(AG4-CZ4-180,360)</f>
        <v>103.78801079653579</v>
      </c>
      <c r="DD4" s="4">
        <f>RADIANS(49.5574+0.0000211081*(K4+1.5))</f>
        <v>0.86741019127306762</v>
      </c>
      <c r="DE4" s="4">
        <f>RADIANS(1.8497-0.0000000178*(K4+1.5))</f>
        <v>3.2281271946027389E-2</v>
      </c>
      <c r="DF4" s="4">
        <f>RADIANS(286.5016+0.0000292961*(K4+1.5))</f>
        <v>5.0038249097084089</v>
      </c>
      <c r="DG4" s="4">
        <f>1.523688</f>
        <v>1.5236879999999999</v>
      </c>
      <c r="DH4" s="4">
        <f>0.093405+0.000000002516*(K4+1.5)</f>
        <v>9.3421871360071296E-2</v>
      </c>
      <c r="DI4" s="4">
        <f>MOD(RADIANS(18.6021+0.5240207766*(K4+1.5)),2*PI())</f>
        <v>5.1049222034925918</v>
      </c>
      <c r="DJ4" s="12">
        <f>DI4+DH4*SIN(DI4)*(1+DH4*COS(DI4))</f>
        <v>5.0155210551238749</v>
      </c>
      <c r="DK4" s="12">
        <f>DG4*(COS(DJ4)-DH4)</f>
        <v>0.31249174907670751</v>
      </c>
      <c r="DL4" s="12">
        <f>DG4*(SQRT(1-DH4*DH4)*SIN(DJ4))</f>
        <v>-1.4478574405139162</v>
      </c>
      <c r="DM4" s="4">
        <f>MOD(RADIANS(IF(DK4&gt;0,DEGREES(ATAN(DL4/DK4)),IF(DK4=0,IF(DL4&lt;0,-90,90),DEGREES(ATAN(DL4/DK4))+180))),2*PI())</f>
        <v>4.9249587805730402</v>
      </c>
      <c r="DN4" s="12">
        <f>SQRT(DK4*DK4+DL4*DL4)</f>
        <v>1.4811962264644505</v>
      </c>
      <c r="DO4" s="12">
        <f>DN4*(COS(DD4)*COS(DM4+DF4)-SIN(DD4)*SIN(DM4+DF4)*COS(DE4))</f>
        <v>-0.29365298726042743</v>
      </c>
      <c r="DP4" s="12">
        <f>DN4*(SIN(DD4)*COS(DM4+DF4)+COS(DD4)*SIN(DM4+DF4)*COS(DE4))</f>
        <v>-1.4516119137843821</v>
      </c>
      <c r="DQ4" s="12">
        <f>DN4*(SIN(DM4+DF4)*SIN(DE4))</f>
        <v>-2.3087575117342603E-2</v>
      </c>
      <c r="DR4" s="4">
        <f>DEGREES(RADIANS(IF(DO4&gt;0,DEGREES(ATAN(DP4/DO4)),IF(DO4=0,IF(DP4&lt;0,-90,90),DEGREES(ATAN(DP4/DO4))+180))))+DU4</f>
        <v>258.56382703864159</v>
      </c>
      <c r="DS4" s="4">
        <f>SQRT(DO4*DO4+DP4*DP4)</f>
        <v>1.4810162811960337</v>
      </c>
      <c r="DT4" s="4">
        <f>DEGREES(RADIANS(IF(DS4&gt;0,DEGREES(ATAN(DQ4/DS4)),IF(DS4=0,IF(DQ4&lt;0,-90,90),DEGREES(ATAN(DQ4/DS4))+180))))</f>
        <v>-0.89311204055328652</v>
      </c>
      <c r="DU4" s="12">
        <f>0.0000382394*(365.2422*((2000-(36526-OBSERVATIONS!$U$35)/365)-2000)-($K4+1.5))</f>
        <v>1.0785453365560464E-4</v>
      </c>
      <c r="DV4" s="12">
        <f>DN4*COS(RADIANS(DR4))*COS(RADIANS(DT4))</f>
        <v>-0.29365025472136147</v>
      </c>
      <c r="DW4" s="12">
        <f>DN4*SIN(RADIANS(DR4))*COS(RADIANS(DT4))</f>
        <v>-1.4516124665591048</v>
      </c>
      <c r="DX4" s="12">
        <f>DN4*SIN(RADIANS(DT4))</f>
        <v>-2.3087575117342603E-2</v>
      </c>
      <c r="DY4" s="6">
        <f>$AT4*COS($AU4+RADIANS(DU4))</f>
        <v>0.65017786796249255</v>
      </c>
      <c r="DZ4" s="6">
        <f>$AT4*SIN($AU4+RADIANS(DU4))</f>
        <v>0.77262323234325625</v>
      </c>
      <c r="EA4" s="6">
        <f t="shared" ref="EA4:EB6" si="2">DV4+DY4</f>
        <v>0.35652761324113108</v>
      </c>
      <c r="EB4" s="4">
        <f t="shared" si="2"/>
        <v>-0.67898923421584856</v>
      </c>
      <c r="EC4" s="4">
        <f>DX4</f>
        <v>-2.3087575117342603E-2</v>
      </c>
      <c r="ED4" s="4">
        <f>EA4</f>
        <v>0.35652761324113108</v>
      </c>
      <c r="EE4" s="12">
        <f>EB4*COS(RADIANS($AB4))-EC4*SIN(RADIANS($AB4))</f>
        <v>-0.61378883014509888</v>
      </c>
      <c r="EF4" s="4">
        <f>EB4*SIN(RADIANS($AB4))+EC4*COS(RADIANS($AB4))</f>
        <v>-0.29124334892823617</v>
      </c>
      <c r="EG4" s="4">
        <f>DEGREES(RADIANS(IF(ED4&gt;0,DEGREES(ATAN(EE4/ED4)),IF(ED4=0,IF(EE4&lt;0,-90,90),DEGREES(ATAN(EE4/ED4))+180))))</f>
        <v>-59.849253752212455</v>
      </c>
      <c r="EH4" s="4">
        <f>SQRT(ED4*ED4+EE4*EE4)</f>
        <v>0.70982298287270651</v>
      </c>
      <c r="EI4" s="4">
        <f>DEGREES(RADIANS(IF(EH4&gt;0,DEGREES(ATAN(EF4/EH4)),IF(EH4=0,IF(EF4&lt;0,-90,90),DEGREES(ATAN(EF4/EH4))+180))))</f>
        <v>-22.308548547861818</v>
      </c>
      <c r="EJ4" s="4">
        <f>MOD($AG4-EG4-180,360)</f>
        <v>154.2993210530276</v>
      </c>
      <c r="EK4" s="10">
        <f>RADIANS(76.6799+0.000024659*(K4+1.5))</f>
        <v>1.3412026982464613</v>
      </c>
      <c r="EL4" s="10">
        <f>RADIANS(3.3946+0.0000000275*(K4+1.5))</f>
        <v>5.9250165258596839E-2</v>
      </c>
      <c r="EM4" s="10">
        <f>RADIANS(54.891+0.0000138374*(K4+1.5))</f>
        <v>0.95964814379496999</v>
      </c>
      <c r="EN4" s="10">
        <f>0.72333</f>
        <v>0.72333000000000003</v>
      </c>
      <c r="EO4" s="1">
        <f>0.006773-0.000000001302*(K4+1.5)</f>
        <v>6.764269272331945E-3</v>
      </c>
      <c r="EP4" s="10">
        <f>MOD(RADIANS(48.0052+1.6021302244*(K4+1.5)),2*PI())</f>
        <v>6.1312457951156958</v>
      </c>
      <c r="EQ4" s="10">
        <f>EP4+EO4*SIN(EP4)*(1+EO4*COS(EP4))</f>
        <v>6.1302151396501561</v>
      </c>
      <c r="ER4" s="10">
        <f>EN4*(COS(EQ4)-EO4)</f>
        <v>0.70999077607172323</v>
      </c>
      <c r="ES4" s="10">
        <f>EN4*(SQRT(1-EO4*EO4)*SIN(EQ4))</f>
        <v>-0.11021436984798166</v>
      </c>
      <c r="ET4" s="1">
        <f>MOD(RADIANS(IF(ER4&gt;0,DEGREES(ATAN(ES4/ER4)),IF(ER4=0,IF(ES4&lt;0,-90,90),DEGREES(ATAN(ES4/ER4))+180))),2*PI())</f>
        <v>6.1291809703633788</v>
      </c>
      <c r="EU4" s="10">
        <f>SQRT(ER4*ER4+ES4*ES4)</f>
        <v>0.71849433500057303</v>
      </c>
      <c r="EV4" s="10">
        <f>EU4*(COS(EK4)*COS(ET4+EM4)-SIN(EK4)*SIN(ET4+EM4)*COS(EL4))</f>
        <v>-0.39048969005075013</v>
      </c>
      <c r="EW4" s="10">
        <f>EU4*(SIN(EK4)*COS(ET4+EM4)+COS(EK4)*SIN(ET4+EM4)*COS(EL4))</f>
        <v>0.60233727450493002</v>
      </c>
      <c r="EX4" s="10">
        <f>EU4*(SIN(ET4+EM4)*SIN(EL4))</f>
        <v>3.0687442610249863E-2</v>
      </c>
      <c r="EY4" s="1">
        <f>DEGREES(RADIANS(IF(EV4&gt;0,DEGREES(ATAN(EW4/EV4)),IF(EV4=0,IF(EW4&lt;0,-90,90),DEGREES(ATAN(EW4/EV4))+180))))+FB4</f>
        <v>122.9550765123969</v>
      </c>
      <c r="EZ4" s="1">
        <f>SQRT(EV4*EV4+EW4*EW4)</f>
        <v>0.71783869378430576</v>
      </c>
      <c r="FA4" s="1">
        <f>DEGREES(RADIANS(IF(EZ4&gt;0,DEGREES(ATAN(EX4/EZ4)),IF(EZ4=0,IF(EX4&lt;0,-90,90),DEGREES(ATAN(EX4/EZ4))+180))))</f>
        <v>2.4478911968347106</v>
      </c>
      <c r="FB4" s="10">
        <f>0.0000382394*(365.2422*((2000-(36526-OBSERVATIONS!$U$35)/365)-2000)-($K4+1.5))</f>
        <v>1.0785453365560464E-4</v>
      </c>
      <c r="FC4" s="10">
        <f>EU4*COS(RADIANS(EY4))*COS(RADIANS(FA4))</f>
        <v>-0.39049082389981815</v>
      </c>
      <c r="FD4" s="10">
        <f>EU4*SIN(RADIANS(EY4))*COS(RADIANS(FA4))</f>
        <v>0.60233653943953913</v>
      </c>
      <c r="FE4" s="10">
        <f>EU4*SIN(RADIANS(FA4))</f>
        <v>3.0687442610249863E-2</v>
      </c>
      <c r="FF4" s="2">
        <f>$AT4*COS($AU4+RADIANS(FB4))</f>
        <v>0.65017786796249255</v>
      </c>
      <c r="FG4" s="2">
        <f>$AT4*SIN($AU4+RADIANS(FB4))</f>
        <v>0.77262323234325625</v>
      </c>
      <c r="FH4" s="2">
        <f t="shared" ref="FH4:FI6" si="3">FC4+FF4</f>
        <v>0.2596870440626744</v>
      </c>
      <c r="FI4" s="1">
        <f t="shared" si="3"/>
        <v>1.3749597717827955</v>
      </c>
      <c r="FJ4" s="1">
        <f>FE4</f>
        <v>3.0687442610249863E-2</v>
      </c>
      <c r="FK4" s="1">
        <f>FH4</f>
        <v>0.2596870440626744</v>
      </c>
      <c r="FL4" s="10">
        <f>FI4*COS(RADIANS($AB4))-FJ4*SIN(RADIANS($AB4))</f>
        <v>1.2493180481357844</v>
      </c>
      <c r="FM4" s="1">
        <f>FI4*SIN(RADIANS($AB4))+FJ4*COS(RADIANS($AB4))</f>
        <v>0.57503087548161103</v>
      </c>
      <c r="FN4" s="14">
        <f>DEGREES(RADIANS(IF(FK4&gt;0,DEGREES(ATAN(FL4/FK4)),IF(FK4=0,IF(FL4&lt;0,-90,90),DEGREES(ATAN(FL4/FK4))+180))))</f>
        <v>78.257538587362959</v>
      </c>
      <c r="FO4" s="1">
        <f>SQRT(FK4*FK4+FL4*FL4)</f>
        <v>1.2760223141668861</v>
      </c>
      <c r="FP4" s="14">
        <f>DEGREES(RADIANS(IF(FO4&gt;0,DEGREES(ATAN(FM4/FO4)),IF(FO4=0,IF(FM4&lt;0,-90,90),DEGREES(ATAN(FM4/FO4))+180))))</f>
        <v>24.258388234374873</v>
      </c>
      <c r="FQ4" s="1">
        <f>MOD($AG4-FN4-180,360)</f>
        <v>16.192528713452191</v>
      </c>
      <c r="FR4" s="10">
        <f>RADIANS(100.4542+0.0000276854*(K4+1.5))</f>
        <v>1.7564967061964571</v>
      </c>
      <c r="FS4" s="10">
        <f>RADIANS(1.303-0.0000001557*(K4+1.5))</f>
        <v>2.2723417759272883E-2</v>
      </c>
      <c r="FT4" s="10">
        <f>RADIANS(273.8777+0.0000164505*(K4+1.5))</f>
        <v>4.7819929017809555</v>
      </c>
      <c r="FU4" s="10">
        <f>5.20256</f>
        <v>5.2025600000000001</v>
      </c>
      <c r="FV4" s="10">
        <f>0.048498+0.000000004469*(K4+1.5)</f>
        <v>4.8527967451573381E-2</v>
      </c>
      <c r="FW4" s="10">
        <f>MOD(RADIANS(19.895+0.0830853001*(K4+1.5)),2*PI())</f>
        <v>3.7879599047730181</v>
      </c>
      <c r="FX4" s="10">
        <f>FW4+FV4*SIN(FW4)*(1+FV4*COS(FW4))</f>
        <v>3.7598642274596283</v>
      </c>
      <c r="FY4" s="10">
        <f>FU4*(COS(FX4)-FV4)</f>
        <v>-4.4919396464056307</v>
      </c>
      <c r="FZ4" s="10">
        <f>FU4*(SQRT(1-FV4*FV4)*SIN(FX4))</f>
        <v>-3.0119943372626721</v>
      </c>
      <c r="GA4" s="1">
        <f>MOD(RADIANS(IF(FY4&gt;0,DEGREES(ATAN(FZ4/FY4)),IF(FY4=0,IF(FZ4&lt;0,-90,90),DEGREES(ATAN(FZ4/FY4))+180))),2*PI())</f>
        <v>3.7322672627288327</v>
      </c>
      <c r="GB4" s="10">
        <f>SQRT(FY4*FY4+FZ4*FZ4)</f>
        <v>5.4082928613984231</v>
      </c>
      <c r="GC4" s="10">
        <f>GB4*(COS(FR4)*COS(GA4+FT4)-SIN(FR4)*SIN(GA4+FT4)*COS(FS4))</f>
        <v>-3.5846076881179165</v>
      </c>
      <c r="GD4" s="10">
        <f>GB4*(SIN(FR4)*COS(GA4+FT4)+COS(FR4)*SIN(GA4+FT4)*COS(FS4))</f>
        <v>-4.0485552237274547</v>
      </c>
      <c r="GE4" s="10">
        <f>GB4*(SIN(GA4+FT4)*SIN(FS4))</f>
        <v>9.7056670910427814E-2</v>
      </c>
      <c r="GF4" s="10">
        <f>DEGREES(RADIANS(IF(GC4&gt;0,DEGREES(ATAN(GD4/GC4)),IF(GC4=0,IF(GD4&lt;0,-90,90),DEGREES(ATAN(GD4/GC4))+180))))+GK4</f>
        <v>228.47829565028951</v>
      </c>
      <c r="GG4" s="10">
        <f>(-0.332*SIN(2*FW4-5*HF4-RADIANS(67.6))-0.056*SIN(2*FW4-2*HF4+RADIANS(21))+0.042*SIN(3*FW4-5*HF4+RADIANS(21))-0.036*SIN(FW4-2*HF4)+0.022*COS(FW4-HF4)+0.023*SIN(2*FW4-3*HF4+RADIANS(52))-0.016*SIN(FW4-5*HF4-RADIANS(69)))</f>
        <v>8.5821784184385123E-3</v>
      </c>
      <c r="GH4" s="1">
        <f>GF4+GG4</f>
        <v>228.48687782870795</v>
      </c>
      <c r="GI4" s="1">
        <f>SQRT(GC4*GC4+GD4*GD4)</f>
        <v>5.4074219067208853</v>
      </c>
      <c r="GJ4" s="1">
        <f>DEGREES(RADIANS(IF(GI4&gt;0,DEGREES(ATAN(GE4/GI4)),IF(GI4=0,IF(GE4&lt;0,-90,90),DEGREES(ATAN(GE4/GI4))+180))))</f>
        <v>1.0282794017882435</v>
      </c>
      <c r="GK4" s="10">
        <f>0.0000382394*(365.2422*((2000-(36526-OBSERVATIONS!$U$35)/365)-2000)-($K4+1.5))</f>
        <v>1.0785453365560464E-4</v>
      </c>
      <c r="GL4" s="10">
        <f>GB4*COS(RADIANS(GH4))*COS(RADIANS(GJ4))</f>
        <v>-3.5839936037865869</v>
      </c>
      <c r="GM4" s="10">
        <f>GB4*SIN(RADIANS(GH4))*COS(RADIANS(GJ4))</f>
        <v>-4.0490988534860151</v>
      </c>
      <c r="GN4" s="10">
        <f>GB4*SIN(RADIANS(GJ4))</f>
        <v>9.7056670910427814E-2</v>
      </c>
      <c r="GO4" s="2">
        <f>$AT4*COS($AU4+RADIANS(GK4))</f>
        <v>0.65017786796249255</v>
      </c>
      <c r="GP4" s="2">
        <f>$AT4*SIN($AU4+RADIANS(GK4))</f>
        <v>0.77262323234325625</v>
      </c>
      <c r="GQ4" s="2">
        <f t="shared" ref="GQ4:GR6" si="4">GL4+GO4</f>
        <v>-2.9338157358240942</v>
      </c>
      <c r="GR4" s="1">
        <f t="shared" si="4"/>
        <v>-3.276475621142759</v>
      </c>
      <c r="GS4" s="1">
        <f>GN4</f>
        <v>9.7056670910427814E-2</v>
      </c>
      <c r="GT4" s="1">
        <f>GQ4</f>
        <v>-2.9338157358240942</v>
      </c>
      <c r="GU4" s="10">
        <f>GR4*COS(RADIANS($AB4))-GS4*SIN(RADIANS($AB4))</f>
        <v>-3.0447649676105981</v>
      </c>
      <c r="GV4" s="1">
        <f>GR4*SIN(RADIANS($AB4))+GS4*COS(RADIANS($AB4))</f>
        <v>-1.2141329356056019</v>
      </c>
      <c r="GW4" s="14">
        <f>DEGREES(RADIANS(IF(GT4&gt;0,DEGREES(ATAN(GU4/GT4)),IF(GT4=0,IF(GU4&lt;0,-90,90),DEGREES(ATAN(GU4/GT4))+180))))</f>
        <v>226.0631608789694</v>
      </c>
      <c r="GX4" s="1">
        <f>SQRT(GT4*GT4+GU4*GU4)</f>
        <v>4.2282228512411493</v>
      </c>
      <c r="GY4" s="14">
        <f>DEGREES(RADIANS(IF(GX4&gt;0,DEGREES(ATAN(GV4/GX4)),IF(GX4=0,IF(GV4&lt;0,-90,90),DEGREES(ATAN(GV4/GX4))+180))))</f>
        <v>-16.021403339339745</v>
      </c>
      <c r="GZ4" s="1">
        <f>MOD($AG4-GW4-180,360)</f>
        <v>228.38690642184577</v>
      </c>
      <c r="HA4" s="10">
        <f>RADIANS(113.6634+0.000023898*(K4+1.5))</f>
        <v>1.9865974783042435</v>
      </c>
      <c r="HB4" s="10">
        <f>RADIANS(2.4886-0.0000001081*(K4+1.5))</f>
        <v>4.3421612250587209E-2</v>
      </c>
      <c r="HC4" s="10">
        <f>RADIANS(339.3939+0.0000297661*(K4+1.5))</f>
        <v>5.9270247002459771</v>
      </c>
      <c r="HD4" s="10">
        <f>9.55475</f>
        <v>9.5547500000000003</v>
      </c>
      <c r="HE4" s="10">
        <f>0.055546-0.000000009499*(K4+1.5)</f>
        <v>5.5482303239540044E-2</v>
      </c>
      <c r="HF4" s="1">
        <f>MOD(RADIANS(316.967+0.0334442282*(K4+1.5)),2*PI())</f>
        <v>3.1630873147401335</v>
      </c>
      <c r="HG4" s="10">
        <f>HF4+HE4*SIN(HF4)*(1+HE4*COS(HF4))</f>
        <v>3.1619609795977901</v>
      </c>
      <c r="HH4" s="10">
        <f>HD4*(COS(HG4)-HE4)</f>
        <v>-10.082887622022422</v>
      </c>
      <c r="HI4" s="10">
        <f>HD4*(SQRT(1-HE4*HE4)*SIN(HG4))</f>
        <v>-0.19430105731983521</v>
      </c>
      <c r="HJ4" s="1">
        <f>MOD(RADIANS(IF(HH4&gt;0,DEGREES(ATAN(HI4/HH4)),IF(HH4=0,IF(HI4&lt;0,-90,90),DEGREES(ATAN(HI4/HH4))+180))),2*PI())</f>
        <v>3.1608606469356602</v>
      </c>
      <c r="HK4" s="10">
        <f>SQRT(HH4*HH4+HI4*HI4)</f>
        <v>10.084759575676982</v>
      </c>
      <c r="HL4" s="10">
        <f>HK4*(COS(HA4)*COS(HJ4+HC4)-SIN(HA4)*SIN(HJ4+HC4)*COS(HB4))</f>
        <v>0.79782246786506728</v>
      </c>
      <c r="HM4" s="10">
        <f>HK4*(SIN(HA4)*COS(HJ4+HC4)+COS(HA4)*SIN(HJ4+HC4)*COS(HB4))</f>
        <v>-10.052110017782871</v>
      </c>
      <c r="HN4" s="10">
        <f>HK4*(SIN(HJ4+HC4)*SIN(HB4))</f>
        <v>0.14470383328561184</v>
      </c>
      <c r="HO4" s="10">
        <f>DEGREES(RADIANS(IF(HL4&gt;0,DEGREES(ATAN(HM4/HL4)),IF(HL4=0,IF(HM4&lt;0,-90,90),DEGREES(ATAN(HM4/HL4))+180))))+HV4</f>
        <v>-85.461915961450543</v>
      </c>
      <c r="HP4" s="10">
        <f>0.812*SIN(2*FW4-5*HF4-RADIANS(67.6))-0.229*COS(2*FW4-4*HF4-RADIANS(2))+0.119*SIN(FW4-2*HF4-RADIANS(3))+0.046*SIN(2*FW4-6*HF4-RADIANS(69))+0.014*SIN(FW4-3*HF4+RADIANS(32))</f>
        <v>-0.14479743012538215</v>
      </c>
      <c r="HQ4" s="1">
        <f>HO4+HP4</f>
        <v>-85.606713391575923</v>
      </c>
      <c r="HR4" s="1">
        <f>SQRT(HL4*HL4+HM4*HM4)</f>
        <v>10.083721361672042</v>
      </c>
      <c r="HS4" s="1">
        <f>DEGREES(RADIANS(IF(HR4&gt;0,DEGREES(ATAN(HN4/HR4)),IF(HR4=0,IF(HN4&lt;0,-90,90),DEGREES(ATAN(HN4/HR4))+180))))</f>
        <v>0.82215182122522612</v>
      </c>
      <c r="HT4" s="1">
        <f>-0.02*COS(2*FW4-4*HF4-RADIANS(2))+0.018*SIN(2*FW4-6*HF4-RADIANS(49))</f>
        <v>-2.3026829840073499E-3</v>
      </c>
      <c r="HU4" s="1">
        <f>HS4+HT4</f>
        <v>0.81984913824121874</v>
      </c>
      <c r="HV4" s="10">
        <f>0.0000382394*(365.2422*((2000-(36526-OBSERVATIONS!$U$35)/365)-2000)-($K4+1.5))</f>
        <v>1.0785453365560464E-4</v>
      </c>
      <c r="HW4" s="10">
        <f>HK4*COS(RADIANS(HQ4))*COS(RADIANS(HU4))</f>
        <v>0.77243570697968411</v>
      </c>
      <c r="HX4" s="10">
        <f>HK4*SIN(RADIANS(HQ4))*COS(RADIANS(HU4))</f>
        <v>-10.054098502561033</v>
      </c>
      <c r="HY4" s="10">
        <f>HK4*SIN(RADIANS(HU4))</f>
        <v>0.1442985744605855</v>
      </c>
      <c r="HZ4" s="2">
        <f>$AT4*COS($AU4+RADIANS(HV4))</f>
        <v>0.65017786796249255</v>
      </c>
      <c r="IA4" s="2">
        <f>$AT4*SIN($AU4+RADIANS(HV4))</f>
        <v>0.77262323234325625</v>
      </c>
      <c r="IB4" s="2">
        <f t="shared" ref="IB4:IC6" si="5">HW4+HZ4</f>
        <v>1.4226135749421767</v>
      </c>
      <c r="IC4" s="1">
        <f t="shared" si="5"/>
        <v>-9.2814752702177756</v>
      </c>
      <c r="ID4" s="1">
        <f>HY4</f>
        <v>0.1442985744605855</v>
      </c>
      <c r="IE4" s="1">
        <f>IB4</f>
        <v>1.4226135749421767</v>
      </c>
      <c r="IF4" s="10">
        <f>IC4*COS(RADIANS($AB4))-ID4*SIN(RADIANS($AB4))</f>
        <v>-8.5731335864859108</v>
      </c>
      <c r="IG4" s="1">
        <f>IC4*SIN(RADIANS($AB4))+ID4*COS(RADIANS($AB4))</f>
        <v>-3.5592113984031242</v>
      </c>
      <c r="IH4" s="14">
        <f>DEGREES(RADIANS(IF(IE4&gt;0,DEGREES(ATAN(IF4/IE4)),IF(IE4=0,IF(IF4&lt;0,-90,90),DEGREES(ATAN(IF4/IE4))+180))))</f>
        <v>-80.578271654461986</v>
      </c>
      <c r="II4" s="1">
        <f>SQRT(IE4*IE4+IF4*IF4)</f>
        <v>8.690365290098141</v>
      </c>
      <c r="IJ4" s="14">
        <f>DEGREES(RADIANS(IF(II4&gt;0,DEGREES(ATAN(IG4/II4)),IF(II4=0,IF(IG4&lt;0,-90,90),DEGREES(ATAN(IG4/II4))+180))))</f>
        <v>-22.271961161720185</v>
      </c>
      <c r="IK4" s="1">
        <f>MOD($AG4-IH4-180,360)</f>
        <v>175.02833895527712</v>
      </c>
    </row>
    <row r="5" spans="2:245" s="1" customFormat="1" ht="15" customHeight="1">
      <c r="B5" s="11" t="s">
        <v>19</v>
      </c>
      <c r="C5" s="1">
        <f>(1+37/60+43/3600)</f>
        <v>1.6286111111111112</v>
      </c>
      <c r="D5" s="1">
        <f>-57-14.6/60</f>
        <v>-57.243333333333332</v>
      </c>
      <c r="E5" s="9">
        <f>MOD(360-(C5+((3.075+1.336*SIN(RADIANS(C5))*TAN(RADIANS(D5)))*(OBSERVATIONS!$U$35-36526)/365)/3600)*15,360)</f>
        <v>335.34002105510064</v>
      </c>
      <c r="F5" s="9">
        <f>D5+(20.04*COS(RADIANS(C5*15))*(OBSERVATIONS!$U$35-36526)/365)/3600</f>
        <v>-57.150243222302549</v>
      </c>
      <c r="G5" s="9">
        <f>-17.3*SIN(RADIANS(125-0.05295*(OBSERVATIONS!$U$35-2451545)))-1.4*SIN(RADIANS(200+1.97129*(OBSERVATIONS!$U$35-2451545)))</f>
        <v>6.6308035321601082</v>
      </c>
      <c r="H5" s="9">
        <f>9.4*COS(RADIANS(125-0.05295*(OBSERVATIONS!$U$35-2451545)))+0.7*COS(RADIANS(200+1.97129*(OBSERVATIONS!$U$35-2451545)))</f>
        <v>-7.9109288482141293</v>
      </c>
      <c r="I5" s="10">
        <f t="shared" si="0"/>
        <v>335.33671541007317</v>
      </c>
      <c r="J5" s="10">
        <f t="shared" si="1"/>
        <v>-57.149638569244402</v>
      </c>
      <c r="K5" s="11">
        <f>-36525+OBSERVATIONS!$U$35-1.5+OBSERVATIONS!U37/24</f>
        <v>6704.125</v>
      </c>
      <c r="L5" s="11">
        <f>360-MOD(280.46061837+360.98564736629*(K5),360)</f>
        <v>266.63623210089281</v>
      </c>
      <c r="M5" s="1">
        <f>K5/36525</f>
        <v>0.18354893908282</v>
      </c>
      <c r="N5" s="4">
        <f>MOD(125.04452-1934.136261*M5,360)</f>
        <v>130.03586125183776</v>
      </c>
      <c r="O5" s="4">
        <f>MOD(280.4665+36000.7698*M5,360)</f>
        <v>48.369602954826405</v>
      </c>
      <c r="P5" s="4">
        <f>MOD(218.3165+481267.8813*M5,360)</f>
        <v>354.52552725154965</v>
      </c>
      <c r="Q5" s="4">
        <f>MOD(23.4393-0.0000003563*K5,360)</f>
        <v>23.436911320262499</v>
      </c>
      <c r="R5" s="4">
        <f>-(17.2*SIN(RADIANS(N5))-1.32*SIN(RADIANS(2*O5))-0.23*SIN(RADIANS(2*P5))+0.21*SIN(RADIANS(2*N5)))</f>
        <v>-11.694992146223329</v>
      </c>
      <c r="S5" s="4">
        <f>9.2*COS(RADIANS(N5))+0.57*COS(RADIANS(2*O5))+0.1*COS(RADIANS(2*P5))-0.09*COS(RADIANS(2*N5))</f>
        <v>-5.8712485475175376</v>
      </c>
      <c r="T5" s="4">
        <f>S5+Q5</f>
        <v>17.565662772744961</v>
      </c>
      <c r="U5" s="4">
        <f>R5*COS(RADIANS(T5))/3600</f>
        <v>-3.097131837837489E-3</v>
      </c>
      <c r="V5" s="4">
        <f>MOD(360-L5-U5,360)</f>
        <v>93.366865030945021</v>
      </c>
      <c r="W5" s="4">
        <f>MOD(280.461+0.9856474*K5,360)</f>
        <v>48.364375524999559</v>
      </c>
      <c r="X5" s="4">
        <f>MOD(357.528+35999.05*M5,360)</f>
        <v>125.11543548939153</v>
      </c>
      <c r="Y5" s="4">
        <f>1.915*SIN(RADIANS(X5))+0.02*SIN(RADIANS(2*X5))</f>
        <v>1.5476387432215406</v>
      </c>
      <c r="Z5" s="4">
        <f>W5+Y5</f>
        <v>49.9120142682211</v>
      </c>
      <c r="AA5" s="4">
        <f>-Y5+2.466*SIN(RADIANS(2*Z5))-0.053*SIN(RADIANS(4*Z5))</f>
        <v>0.90002169796538234</v>
      </c>
      <c r="AB5" s="4">
        <f>Q5</f>
        <v>23.436911320262499</v>
      </c>
      <c r="AC5" s="4">
        <f>DEGREES(ASIN(SIN(RADIANS(AB5))*SIN(RADIANS(Z5))))</f>
        <v>17.715623555315492</v>
      </c>
      <c r="AD5" s="4">
        <f>COS(RADIANS(AB5))*SIN(RADIANS(Z5))</f>
        <v>0.70193820829867715</v>
      </c>
      <c r="AE5" s="4">
        <f>COS(RADIANS(Z5))</f>
        <v>0.64396322035173936</v>
      </c>
      <c r="AF5" s="4">
        <f>MOD(IF(AE5&lt;0,DEGREES(ATAN(AD5/AE5))+180,DEGREES(ATAN(AD5/AE5))),360)</f>
        <v>47.466503032137894</v>
      </c>
      <c r="AG5" s="4">
        <f>180-L5</f>
        <v>-86.636232100892812</v>
      </c>
      <c r="AH5" s="4">
        <f>MOD(AG5-AF5+180,360)</f>
        <v>45.897264866969294</v>
      </c>
      <c r="AI5" s="4">
        <v>0</v>
      </c>
      <c r="AJ5" s="12">
        <v>0</v>
      </c>
      <c r="AK5" s="12">
        <f>RADIANS(282.9404+0.0000470935*(K5+1.5))</f>
        <v>4.9437531657329448</v>
      </c>
      <c r="AL5" s="4">
        <v>1</v>
      </c>
      <c r="AM5" s="12">
        <f>0.016709-0.000000001151*(K5+1.5)</f>
        <v>1.6701281825625001E-2</v>
      </c>
      <c r="AN5" s="12">
        <f>MOD(RADIANS(356.047+0.9856002585*(K5+1.5)),2*PI())</f>
        <v>2.1836291340707916</v>
      </c>
      <c r="AO5" s="12">
        <v>6.0439315484222291</v>
      </c>
      <c r="AP5" s="12">
        <f>RADIANS(MOD(23.4393-0.0000003563*(K5+1.5),360))</f>
        <v>0.40905125970859968</v>
      </c>
      <c r="AQ5" s="12">
        <f>COS(AO5)-AM5</f>
        <v>0.95481380605587884</v>
      </c>
      <c r="AR5" s="12">
        <f>SQRT(1-AM5*AM5)*SIN(AO5)</f>
        <v>-0.23694465511703031</v>
      </c>
      <c r="AS5" s="4">
        <f>MOD(RADIANS(IF(AQ5&gt;0,DEGREES(ATAN(AR5/AQ5)),IF(AQ5=0,IF(AR5&lt;0,-90,90),DEGREES(ATAN(AR5/AQ5))+180))),2*PI())</f>
        <v>6.039941070053052</v>
      </c>
      <c r="AT5" s="12">
        <f>SQRT(AQ5*AQ5+AR5*AR5)</f>
        <v>0.98377445271944419</v>
      </c>
      <c r="AU5" s="13">
        <f>AS5+AK5</f>
        <v>10.983694235785997</v>
      </c>
      <c r="AV5" s="12">
        <f>AT5*COS(AU5)</f>
        <v>-1.168701652285515E-2</v>
      </c>
      <c r="AW5" s="4">
        <f>AT5*SIN(AU5)</f>
        <v>-0.98370503072223658</v>
      </c>
      <c r="AX5" s="12">
        <f>AV5</f>
        <v>-1.168701652285515E-2</v>
      </c>
      <c r="AY5" s="4">
        <f>AW5*COS(AP5)</f>
        <v>-0.90254797545267695</v>
      </c>
      <c r="AZ5" s="4">
        <f>AW5*SIN(AP5)</f>
        <v>-0.39125789381750548</v>
      </c>
      <c r="BA5" s="4">
        <f>DEGREES(MOD(RADIANS(IF(AX5&gt;0,DEGREES(ATAN(AY5/AX5)),IF(AX5=0,IF(AY5&lt;0,-90,90),DEGREES(ATAN(AY5/AX5))+180))),PI()))</f>
        <v>89.258123315349792</v>
      </c>
      <c r="BB5" s="4">
        <f>SQRT(AX5*AX5+AY5*AY5)</f>
        <v>0.90262363936966084</v>
      </c>
      <c r="BC5" s="4">
        <f>DEGREES(RADIANS(IF(BB5&gt;0,DEGREES(ATAN(AZ5/BB5)),IF(BB5=0,IF(AZ5&lt;0,-90,90),DEGREES(ATAN(AZ5/BB5))+180))))</f>
        <v>-23.43515805939434</v>
      </c>
      <c r="BD5" s="10">
        <f>RADIANS(125.1228-0.0529538083*(K5+1.5))</f>
        <v>-4.0136565509014428</v>
      </c>
      <c r="BE5" s="1">
        <f>RADIANS(5.1454)</f>
        <v>8.9804171332116239E-2</v>
      </c>
      <c r="BF5" s="10">
        <f>RADIANS(318.0634+0.1643573223*(K5+1.5))</f>
        <v>24.786851342578693</v>
      </c>
      <c r="BG5" s="1">
        <f>60.2666</f>
        <v>60.266599999999997</v>
      </c>
      <c r="BH5" s="10">
        <f>0.0549</f>
        <v>5.4899999999999997E-2</v>
      </c>
      <c r="BI5" s="10">
        <f>MOD(RADIANS(115.3654+13.0649929509*(K5+1.5)),2*PI())</f>
        <v>4.2639921902630746</v>
      </c>
      <c r="BJ5" s="10">
        <f>BI5+BH5*SIN(BI5)*(1+BH5*COS(BI5))</f>
        <v>4.2156968916980926</v>
      </c>
      <c r="BK5" s="10">
        <f>BG5*(COS(BJ5)-BH5)</f>
        <v>-32.02687389690189</v>
      </c>
      <c r="BL5" s="10">
        <f>BG5*(SQRT(1-BH5*BH5)*SIN(BJ5))</f>
        <v>-52.904296600822825</v>
      </c>
      <c r="BM5" s="1">
        <f>MOD(RADIANS(IF(BK5&gt;0,DEGREES(ATAN(BL5/BK5)),IF(BK5=0,IF(BL5&lt;0,-90,90),DEGREES(ATAN(BL5/BK5))+180))),2*PI())</f>
        <v>4.1680275388420425</v>
      </c>
      <c r="BN5" s="10">
        <f>SQRT(BK5*BK5+BL5*BL5)</f>
        <v>61.843231241873909</v>
      </c>
      <c r="BO5" s="10">
        <f>BN5*(COS(BD5)*COS(BM5+BF5)-SIN(BD5)*SIN(BM5+BF5)*COS(BE5))</f>
        <v>60.5924447199125</v>
      </c>
      <c r="BP5" s="10">
        <f>BN5*(SIN(BD5)*COS(BM5+BF5)+COS(BD5)*SIN(BM5+BF5)*COS(BE5))</f>
        <v>-11.872739269915856</v>
      </c>
      <c r="BQ5" s="10">
        <f>BN5*(SIN(BM5+BF5)*SIN(BE5))</f>
        <v>-3.4898360317977257</v>
      </c>
      <c r="BR5" s="1">
        <f>DEGREES(RADIANS(IF(BO5&gt;0,DEGREES(ATAN(BP5/BO5)),IF(BO5=0,IF(BP5&lt;0,-90,90),DEGREES(ATAN(BP5/BO5))+180))))</f>
        <v>-11.086317734386952</v>
      </c>
      <c r="BS5" s="1">
        <f>SQRT(BO5*BO5+BP5*BP5)</f>
        <v>61.744686369816911</v>
      </c>
      <c r="BT5" s="1">
        <f>DEGREES(RADIANS(IF(BS5&gt;0,DEGREES(ATAN(BQ5/BS5)),IF(BS5=0,IF(BQ5&lt;0,-90,90),DEGREES(ATAN(BQ5/BS5))+180))))</f>
        <v>-3.2349401113597462</v>
      </c>
      <c r="BU5" s="1">
        <f>AN5+AK5</f>
        <v>7.1273822998037364</v>
      </c>
      <c r="BV5" s="1">
        <f>BI5+BF5+BD5</f>
        <v>25.037186981940323</v>
      </c>
      <c r="BW5" s="1">
        <f>BV5-BU5</f>
        <v>17.909804682136588</v>
      </c>
      <c r="BX5" s="10">
        <f>BV5-BD5</f>
        <v>29.050843532841768</v>
      </c>
      <c r="BY5" s="1">
        <f>-1.274*SIN(BI5-2*BW5)</f>
        <v>0.17738764865129011</v>
      </c>
      <c r="BZ5" s="10">
        <f>BY5+0.658*SIN(2*BW5)</f>
        <v>-0.44950702802733866</v>
      </c>
      <c r="CA5" s="10">
        <f>BZ5-0.186*SIN(AN5)</f>
        <v>-0.60165910294408498</v>
      </c>
      <c r="CB5" s="10">
        <f>CA5-0.059*SIN(2*BI5-2*BW5)</f>
        <v>-0.55257091183869445</v>
      </c>
      <c r="CC5" s="10">
        <f>CB5-0.057*SIN(BI5-2*BW5+AN5)</f>
        <v>-0.60330893994053614</v>
      </c>
      <c r="CD5" s="10">
        <f>CC5+0.053*SIN(BI5+2*BW5)</f>
        <v>-0.56690755068802667</v>
      </c>
      <c r="CE5" s="10">
        <f>CD5+0.046*SIN(2*BW5-AN5)</f>
        <v>-0.53026703222461702</v>
      </c>
      <c r="CF5" s="10">
        <f>CE5+0.041*SIN(BI5-AN5)</f>
        <v>-0.49447583874317386</v>
      </c>
      <c r="CG5" s="10">
        <f>CF5-0.035*SIN(BW5)</f>
        <v>-0.46621644116423194</v>
      </c>
      <c r="CH5" s="10">
        <f>CG5-0.031*SIN(BI5+AN5)</f>
        <v>-0.47129101660209155</v>
      </c>
      <c r="CI5" s="10">
        <f>CH5-0.015*SIN(2*BX5-2*BW5)</f>
        <v>-0.46698838013532057</v>
      </c>
      <c r="CJ5" s="10">
        <f>CI5+0.011*SIN(BI5-4*BW5)</f>
        <v>-0.45614512081905267</v>
      </c>
      <c r="CK5" s="1">
        <f>RADIANS(CJ5+BR5)</f>
        <v>-0.20145398061249029</v>
      </c>
      <c r="CL5" s="10">
        <f>-0.173*SIN(BX5-2*BW5)</f>
        <v>8.0742881109572701E-2</v>
      </c>
      <c r="CM5" s="10">
        <f>CL5-0.055*SIN(BI5-BX5-2*BW5)</f>
        <v>3.711171438297671E-2</v>
      </c>
      <c r="CN5" s="10">
        <f>CM5-0.046*SIN(BI5+BX5-2*BW5)</f>
        <v>6.4465198893028861E-2</v>
      </c>
      <c r="CO5" s="10">
        <f>CN5+0.033*SIN(BX5+2*BW5)</f>
        <v>9.39197086607442E-2</v>
      </c>
      <c r="CP5" s="10">
        <f>CO5+0.017*SIN(2*BI5+BX5)</f>
        <v>9.1879809125177792E-2</v>
      </c>
      <c r="CQ5" s="1">
        <f>RADIANS(CP5+BT5)</f>
        <v>-5.48567508627213E-2</v>
      </c>
      <c r="CR5" s="10">
        <f>BN5-0.58*COS(BI5-2*BW5)</f>
        <v>61.268880953347413</v>
      </c>
      <c r="CS5" s="10">
        <f>CR5-0.46*COS(2*BW5)</f>
        <v>61.408641008370047</v>
      </c>
      <c r="CT5" s="10">
        <f>CS5*COS(CK5)*COS(CQ5)</f>
        <v>60.076248351419146</v>
      </c>
      <c r="CU5" s="10">
        <f>CS5*SIN(CK5)*COS(CQ5)</f>
        <v>-12.269024329838665</v>
      </c>
      <c r="CV5" s="10">
        <f>CS5*SIN(CQ5)</f>
        <v>-3.36698923480657</v>
      </c>
      <c r="CW5" s="4">
        <f>CT5</f>
        <v>60.076248351419146</v>
      </c>
      <c r="CX5" s="4">
        <f>CU5*COS(AP5)-CV5*SIN(AP5)</f>
        <v>-9.9176294198638146</v>
      </c>
      <c r="CY5" s="12">
        <f>CU5*SIN(AP5)+CV5*COS(AP5)</f>
        <v>-7.9690778138833709</v>
      </c>
      <c r="CZ5" s="4">
        <f>DEGREES(RADIANS(IF(CW5&gt;0,DEGREES(ATAN(CX5/CW5)),IF(CW5=0,IF(CX5&lt;0,-90,90),DEGREES(ATAN(CX5/CW5))+180))))</f>
        <v>-9.3740722129603977</v>
      </c>
      <c r="DA5" s="4">
        <f>SQRT(CW5*CW5+CX5*CX5)</f>
        <v>60.889366799886659</v>
      </c>
      <c r="DB5" s="4">
        <f>DEGREES(RADIANS(IF(DA5&gt;0,DEGREES(ATAN(CY5/DA5)),IF(DA5=0,IF(CY5&lt;0,-90,90),DEGREES(ATAN(CY5/DA5))+180))))</f>
        <v>-7.4563755422183036</v>
      </c>
      <c r="DC5" s="4">
        <f>MOD(AG5-CZ5-180,360)</f>
        <v>102.7378401120676</v>
      </c>
      <c r="DD5" s="4">
        <f>RADIANS(49.5574+0.0000211081*(K5+1.5))</f>
        <v>0.86741019016443899</v>
      </c>
      <c r="DE5" s="4">
        <f>RADIANS(1.8497-0.0000000178*(K5+1.5))</f>
        <v>3.2281271946962273E-2</v>
      </c>
      <c r="DF5" s="4">
        <f>RADIANS(286.5016+0.0000292961*(K5+1.5))</f>
        <v>5.0038249081697348</v>
      </c>
      <c r="DG5" s="4">
        <f>1.523688</f>
        <v>1.5236879999999999</v>
      </c>
      <c r="DH5" s="4">
        <f>0.093405+0.000000002516*(K5+1.5)</f>
        <v>9.3421871352500005E-2</v>
      </c>
      <c r="DI5" s="4">
        <f>MOD(RADIANS(18.6021+0.5240207766*(K5+1.5)),2*PI())</f>
        <v>5.1048946811447351</v>
      </c>
      <c r="DJ5" s="12">
        <f>DI5+DH5*SIN(DI5)*(1+DH5*COS(DI5))</f>
        <v>5.0154927191704974</v>
      </c>
      <c r="DK5" s="12">
        <f>DG5*(COS(DJ5)-DH5)</f>
        <v>0.31245054227219182</v>
      </c>
      <c r="DL5" s="12">
        <f>DG5*(SQRT(1-DH5*DH5)*SIN(DJ5))</f>
        <v>-1.4478702718235088</v>
      </c>
      <c r="DM5" s="4">
        <f>MOD(RADIANS(IF(DK5&gt;0,DEGREES(ATAN(DL5/DK5)),IF(DK5=0,IF(DL5&lt;0,-90,90),DEGREES(ATAN(DL5/DK5))+180))),2*PI())</f>
        <v>4.924929759257143</v>
      </c>
      <c r="DN5" s="12">
        <f>SQRT(DK5*DK5+DL5*DL5)</f>
        <v>1.4812000760857624</v>
      </c>
      <c r="DO5" s="12">
        <f>DN5*(COS(DD5)*COS(DM5+DF5)-SIN(DD5)*SIN(DM5+DF5)*COS(DE5))</f>
        <v>-0.29369587401845171</v>
      </c>
      <c r="DP5" s="12">
        <f>DN5*(SIN(DD5)*COS(DM5+DF5)+COS(DD5)*SIN(DM5+DF5)*COS(DE5))</f>
        <v>-1.4516071838433271</v>
      </c>
      <c r="DQ5" s="12">
        <f>DN5*(SIN(DM5+DF5)*SIN(DE5))</f>
        <v>-2.3086420152358445E-2</v>
      </c>
      <c r="DR5" s="4">
        <f>DEGREES(RADIANS(IF(DO5&gt;0,DEGREES(ATAN(DP5/DO5)),IF(DO5=0,IF(DP5&lt;0,-90,90),DEGREES(ATAN(DP5/DO5))+180))))+DU5</f>
        <v>258.56216466559459</v>
      </c>
      <c r="DS5" s="4">
        <f>SQRT(DO5*DO5+DP5*DP5)</f>
        <v>1.4810201492893393</v>
      </c>
      <c r="DT5" s="4">
        <f>DEGREES(RADIANS(IF(DS5&gt;0,DEGREES(ATAN(DQ5/DS5)),IF(DS5=0,IF(DQ5&lt;0,-90,90),DEGREES(ATAN(DQ5/DS5))+180))))</f>
        <v>-0.89306503739571919</v>
      </c>
      <c r="DU5" s="12">
        <f>0.0000382394*(365.2422*((2000-(36526-OBSERVATIONS!$U$35)/365)-2000)-($K5+1.5))</f>
        <v>1.0796960592413888E-4</v>
      </c>
      <c r="DV5" s="12">
        <f>DN5*COS(RADIANS(DR5))*COS(RADIANS(DT5))</f>
        <v>-0.2936931385728952</v>
      </c>
      <c r="DW5" s="12">
        <f>DN5*SIN(RADIANS(DR5))*COS(RADIANS(DT5))</f>
        <v>-1.4516077372886311</v>
      </c>
      <c r="DX5" s="12">
        <f>DN5*SIN(RADIANS(DT5))</f>
        <v>-2.3086420152358445E-2</v>
      </c>
      <c r="DY5" s="6">
        <f>$AT5*COS($AU5+RADIANS(DU5))</f>
        <v>-1.1685162804368258E-2</v>
      </c>
      <c r="DZ5" s="6">
        <f>$AT5*SIN($AU5+RADIANS(DU5))</f>
        <v>-0.98370505274379749</v>
      </c>
      <c r="EA5" s="6">
        <f t="shared" si="2"/>
        <v>-0.30537830137726346</v>
      </c>
      <c r="EB5" s="4">
        <f t="shared" si="2"/>
        <v>-2.4353127900324285</v>
      </c>
      <c r="EC5" s="4">
        <f>DX5</f>
        <v>-2.3086420152358445E-2</v>
      </c>
      <c r="ED5" s="4">
        <f>EA5</f>
        <v>-0.30537830137726346</v>
      </c>
      <c r="EE5" s="12">
        <f>EB5*COS(RADIANS($AB5))-EC5*SIN(RADIANS($AB5))</f>
        <v>-2.2252136633109658</v>
      </c>
      <c r="EF5" s="4">
        <f>EB5*SIN(RADIANS($AB5))+EC5*COS(RADIANS($AB5))</f>
        <v>-0.9898007479817208</v>
      </c>
      <c r="EG5" s="4">
        <f>DEGREES(RADIANS(IF(ED5&gt;0,DEGREES(ATAN(EE5/ED5)),IF(ED5=0,IF(EE5&lt;0,-90,90),DEGREES(ATAN(EE5/ED5))+180))))</f>
        <v>262.18579776162227</v>
      </c>
      <c r="EH5" s="4">
        <f>SQRT(ED5*ED5+EE5*EE5)</f>
        <v>2.2460702914953199</v>
      </c>
      <c r="EI5" s="4">
        <f>DEGREES(RADIANS(IF(EH5&gt;0,DEGREES(ATAN(EF5/EH5)),IF(EH5=0,IF(EF5&lt;0,-90,90),DEGREES(ATAN(EF5/EH5))+180))))</f>
        <v>-23.782181236659689</v>
      </c>
      <c r="EJ5" s="4">
        <f>MOD($AG5-EG5-180,360)</f>
        <v>191.17797013748486</v>
      </c>
      <c r="EK5" s="10">
        <f>RADIANS(76.6799+0.000024659*(K5+1.5))</f>
        <v>1.3412026969513342</v>
      </c>
      <c r="EL5" s="10">
        <f>RADIANS(3.3946+0.0000000275*(K5+1.5))</f>
        <v>5.9250165257152494E-2</v>
      </c>
      <c r="EM5" s="10">
        <f>RADIANS(54.891+0.0000138374*(K5+1.5))</f>
        <v>0.95964814306820923</v>
      </c>
      <c r="EN5" s="10">
        <f>0.72333</f>
        <v>0.72333000000000003</v>
      </c>
      <c r="EO5" s="1">
        <f>0.006773-0.000000001302*(K5+1.5)</f>
        <v>6.7642692762500001E-3</v>
      </c>
      <c r="EP5" s="10">
        <f>MOD(RADIANS(48.0052+1.6021302244*(K5+1.5)),2*PI())</f>
        <v>6.1311616488617702</v>
      </c>
      <c r="EQ5" s="10">
        <f>EP5+EO5*SIN(EP5)*(1+EO5*COS(EP5))</f>
        <v>6.1301304270950903</v>
      </c>
      <c r="ER5" s="10">
        <f>EN5*(COS(EQ5)-EO5)</f>
        <v>0.70998143674934011</v>
      </c>
      <c r="ES5" s="10">
        <f>EN5*(SQRT(1-EO5*EO5)*SIN(EQ5))</f>
        <v>-0.11027492768117635</v>
      </c>
      <c r="ET5" s="1">
        <f>MOD(RADIANS(IF(ER5&gt;0,DEGREES(ATAN(ES5/ER5)),IF(ER5=0,IF(ES5&lt;0,-90,90),DEGREES(ATAN(ES5/ER5))+180))),2*PI())</f>
        <v>6.1290956896236972</v>
      </c>
      <c r="EU5" s="10">
        <f>SQRT(ER5*ER5+ES5*ES5)</f>
        <v>0.71849439817144423</v>
      </c>
      <c r="EV5" s="10">
        <f>EU5*(COS(EK5)*COS(ET5+EM5)-SIN(EK5)*SIN(ET5+EM5)*COS(EL5))</f>
        <v>-0.39043840884361158</v>
      </c>
      <c r="EW5" s="10">
        <f>EU5*(SIN(EK5)*COS(ET5+EM5)+COS(EK5)*SIN(ET5+EM5)*COS(EL5))</f>
        <v>0.60237071978246581</v>
      </c>
      <c r="EX5" s="10">
        <f>EU5*(SIN(ET5+EM5)*SIN(EL5))</f>
        <v>3.0684932005280854E-2</v>
      </c>
      <c r="EY5" s="1">
        <f>DEGREES(RADIANS(IF(EV5&gt;0,DEGREES(ATAN(EW5/EV5)),IF(EV5=0,IF(EW5&lt;0,-90,90),DEGREES(ATAN(EW5/EV5))+180))))+FB5</f>
        <v>122.95018994601723</v>
      </c>
      <c r="EZ5" s="1">
        <f>SQRT(EV5*EV5+EW5*EW5)</f>
        <v>0.71783886433626387</v>
      </c>
      <c r="FA5" s="1">
        <f>DEGREES(RADIANS(IF(EZ5&gt;0,DEGREES(ATAN(EX5/EZ5)),IF(EZ5=0,IF(EX5&lt;0,-90,90),DEGREES(ATAN(EX5/EZ5))+180))))</f>
        <v>2.4476905923884207</v>
      </c>
      <c r="FB5" s="10">
        <f>0.0000382394*(365.2422*((2000-(36526-OBSERVATIONS!$U$35)/365)-2000)-($K5+1.5))</f>
        <v>1.0796960592413888E-4</v>
      </c>
      <c r="FC5" s="10">
        <f>EU5*COS(RADIANS(EY5))*COS(RADIANS(FA5))</f>
        <v>-0.39043954396543157</v>
      </c>
      <c r="FD5" s="10">
        <f>EU5*SIN(RADIANS(EY5))*COS(RADIANS(FA5))</f>
        <v>0.60236998402945274</v>
      </c>
      <c r="FE5" s="10">
        <f>EU5*SIN(RADIANS(FA5))</f>
        <v>3.0684932005280854E-2</v>
      </c>
      <c r="FF5" s="2">
        <f>$AT5*COS($AU5+RADIANS(FB5))</f>
        <v>-1.1685162804368258E-2</v>
      </c>
      <c r="FG5" s="2">
        <f>$AT5*SIN($AU5+RADIANS(FB5))</f>
        <v>-0.98370505274379749</v>
      </c>
      <c r="FH5" s="2">
        <f t="shared" si="3"/>
        <v>-0.40212470676979983</v>
      </c>
      <c r="FI5" s="1">
        <f t="shared" si="3"/>
        <v>-0.38133506871434475</v>
      </c>
      <c r="FJ5" s="1">
        <f>FE5</f>
        <v>3.0684932005280854E-2</v>
      </c>
      <c r="FK5" s="1">
        <f>FH5</f>
        <v>-0.40212470676979983</v>
      </c>
      <c r="FL5" s="10">
        <f>FI5*COS(RADIANS($AB5))-FJ5*SIN(RADIANS($AB5))</f>
        <v>-0.36207898084109358</v>
      </c>
      <c r="FM5" s="1">
        <f>FI5*SIN(RADIANS($AB5))+FJ5*COS(RADIANS($AB5))</f>
        <v>-0.12351846548843512</v>
      </c>
      <c r="FN5" s="14">
        <f>DEGREES(RADIANS(IF(FK5&gt;0,DEGREES(ATAN(FL5/FK5)),IF(FK5=0,IF(FL5&lt;0,-90,90),DEGREES(ATAN(FL5/FK5))+180))))</f>
        <v>222.0003358823835</v>
      </c>
      <c r="FO5" s="1">
        <f>SQRT(FK5*FK5+FL5*FL5)</f>
        <v>0.54111502304188752</v>
      </c>
      <c r="FP5" s="14">
        <f>DEGREES(RADIANS(IF(FO5&gt;0,DEGREES(ATAN(FM5/FO5)),IF(FO5=0,IF(FM5&lt;0,-90,90),DEGREES(ATAN(FM5/FO5))+180))))</f>
        <v>-12.858400126050126</v>
      </c>
      <c r="FQ5" s="1">
        <f>MOD($AG5-FN5-180,360)</f>
        <v>231.36343201672366</v>
      </c>
      <c r="FR5" s="10">
        <f>RADIANS(100.4542+0.0000276854*(K5+1.5))</f>
        <v>1.7564967047423787</v>
      </c>
      <c r="FS5" s="10">
        <f>RADIANS(1.303-0.0000001557*(K5+1.5))</f>
        <v>2.2723417767450481E-2</v>
      </c>
      <c r="FT5" s="10">
        <f>RADIANS(273.8777+0.0000164505*(K5+1.5))</f>
        <v>4.7819929009169506</v>
      </c>
      <c r="FU5" s="10">
        <f>5.20256</f>
        <v>5.2025600000000001</v>
      </c>
      <c r="FV5" s="10">
        <f>0.048498+0.000000004469*(K5+1.5)</f>
        <v>4.8527967438125E-2</v>
      </c>
      <c r="FW5" s="10">
        <f>MOD(RADIANS(19.895+0.0830853001*(K5+1.5)),2*PI())</f>
        <v>3.7879555410099126</v>
      </c>
      <c r="FX5" s="10">
        <f>FW5+FV5*SIN(FW5)*(1+FV5*COS(FW5))</f>
        <v>3.7598600299301874</v>
      </c>
      <c r="FY5" s="10">
        <f>FU5*(COS(FX5)-FV5)</f>
        <v>-4.4919523041463947</v>
      </c>
      <c r="FZ5" s="10">
        <f>FU5*(SQRT(1-FV5*FV5)*SIN(FX5))</f>
        <v>-3.0119765629040289</v>
      </c>
      <c r="GA5" s="1">
        <f>MOD(RADIANS(IF(FY5&gt;0,DEGREES(ATAN(FZ5/FY5)),IF(FY5=0,IF(FZ5&lt;0,-90,90),DEGREES(ATAN(FZ5/FY5))+180))),2*PI())</f>
        <v>3.7322632296395377</v>
      </c>
      <c r="GB5" s="10">
        <f>SQRT(FY5*FY5+FZ5*FZ5)</f>
        <v>5.4082934755992369</v>
      </c>
      <c r="GC5" s="10">
        <f>GB5*(COS(FR5)*COS(GA5+FT5)-SIN(FR5)*SIN(GA5+FT5)*COS(FS5))</f>
        <v>-3.5846244301769503</v>
      </c>
      <c r="GD5" s="10">
        <f>GB5*(SIN(FR5)*COS(GA5+FT5)+COS(FR5)*SIN(GA5+FT5)*COS(FS5))</f>
        <v>-4.0485412131106768</v>
      </c>
      <c r="GE5" s="10">
        <f>GB5*(SIN(GA5+FT5)*SIN(FS5))</f>
        <v>9.7056986003962523E-2</v>
      </c>
      <c r="GF5" s="10">
        <f>DEGREES(RADIANS(IF(GC5&gt;0,DEGREES(ATAN(GD5/GC5)),IF(GC5=0,IF(GD5&lt;0,-90,90),DEGREES(ATAN(GD5/GC5))+180))))+GK5</f>
        <v>228.4780645387838</v>
      </c>
      <c r="GG5" s="10">
        <f>(-0.332*SIN(2*FW5-5*HF5-RADIANS(67.6))-0.056*SIN(2*FW5-2*HF5+RADIANS(21))+0.042*SIN(3*FW5-5*HF5+RADIANS(21))-0.036*SIN(FW5-2*HF5)+0.022*COS(FW5-HF5)+0.023*SIN(2*FW5-3*HF5+RADIANS(52))-0.016*SIN(FW5-5*HF5-RADIANS(69)))</f>
        <v>8.5821998214955387E-3</v>
      </c>
      <c r="GH5" s="1">
        <f>GF5+GG5</f>
        <v>228.48664673860529</v>
      </c>
      <c r="GI5" s="1">
        <f>SQRT(GC5*GC5+GD5*GD5)</f>
        <v>5.4074225153650692</v>
      </c>
      <c r="GJ5" s="1">
        <f>DEGREES(RADIANS(IF(GI5&gt;0,DEGREES(ATAN(GE5/GI5)),IF(GI5=0,IF(GE5&lt;0,-90,90),DEGREES(ATAN(GE5/GI5))+180))))</f>
        <v>1.02828262365476</v>
      </c>
      <c r="GK5" s="10">
        <f>0.0000382394*(365.2422*((2000-(36526-OBSERVATIONS!$U$35)/365)-2000)-($K5+1.5))</f>
        <v>1.0796960592413888E-4</v>
      </c>
      <c r="GL5" s="10">
        <f>GB5*COS(RADIANS(GH5))*COS(RADIANS(GJ5))</f>
        <v>-3.584010338325724</v>
      </c>
      <c r="GM5" s="10">
        <f>GB5*SIN(RADIANS(GH5))*COS(RADIANS(GJ5))</f>
        <v>-4.0490848539455717</v>
      </c>
      <c r="GN5" s="10">
        <f>GB5*SIN(RADIANS(GJ5))</f>
        <v>9.7056986003962578E-2</v>
      </c>
      <c r="GO5" s="2">
        <f>$AT5*COS($AU5+RADIANS(GK5))</f>
        <v>-1.1685162804368258E-2</v>
      </c>
      <c r="GP5" s="2">
        <f>$AT5*SIN($AU5+RADIANS(GK5))</f>
        <v>-0.98370505274379749</v>
      </c>
      <c r="GQ5" s="2">
        <f t="shared" si="4"/>
        <v>-3.5956955011300922</v>
      </c>
      <c r="GR5" s="1">
        <f t="shared" si="4"/>
        <v>-5.0327899066893691</v>
      </c>
      <c r="GS5" s="1">
        <f>GN5</f>
        <v>9.7056986003962578E-2</v>
      </c>
      <c r="GT5" s="1">
        <f>GQ5</f>
        <v>-3.5956955011300922</v>
      </c>
      <c r="GU5" s="10">
        <f>GR5*COS(RADIANS($AB5))-GS5*SIN(RADIANS($AB5))</f>
        <v>-4.6561809612499632</v>
      </c>
      <c r="GV5" s="1">
        <f>GR5*SIN(RADIANS($AB5))+GS5*COS(RADIANS($AB5))</f>
        <v>-1.9126874181370923</v>
      </c>
      <c r="GW5" s="14">
        <f>DEGREES(RADIANS(IF(GT5&gt;0,DEGREES(ATAN(GU5/GT5)),IF(GT5=0,IF(GU5&lt;0,-90,90),DEGREES(ATAN(GU5/GT5))+180))))</f>
        <v>232.32319574364422</v>
      </c>
      <c r="GX5" s="1">
        <f>SQRT(GT5*GT5+GU5*GU5)</f>
        <v>5.8829454596106716</v>
      </c>
      <c r="GY5" s="14">
        <f>DEGREES(RADIANS(IF(GX5&gt;0,DEGREES(ATAN(GV5/GX5)),IF(GX5=0,IF(GV5&lt;0,-90,90),DEGREES(ATAN(GV5/GX5))+180))))</f>
        <v>-18.010593109176796</v>
      </c>
      <c r="GZ5" s="1">
        <f>MOD($AG5-GW5-180,360)</f>
        <v>221.040572155463</v>
      </c>
      <c r="HA5" s="10">
        <f>RADIANS(113.6634+0.000023898*(K5+1.5))</f>
        <v>1.9865974770490851</v>
      </c>
      <c r="HB5" s="10">
        <f>RADIANS(2.4886-0.0000001081*(K5+1.5))</f>
        <v>4.3421612256264779E-2</v>
      </c>
      <c r="HC5" s="10">
        <f>RADIANS(339.3939+0.0000297661*(K5+1.5))</f>
        <v>5.9270246986826187</v>
      </c>
      <c r="HD5" s="10">
        <f>9.55475</f>
        <v>9.5547500000000003</v>
      </c>
      <c r="HE5" s="10">
        <f>0.055546-0.000000009499*(K5+1.5)</f>
        <v>5.5482303268124998E-2</v>
      </c>
      <c r="HF5" s="1">
        <f>MOD(RADIANS(316.967+0.0334442282*(K5+1.5)),2*PI())</f>
        <v>3.1630855581997022</v>
      </c>
      <c r="HG5" s="10">
        <f>HF5+HE5*SIN(HF5)*(1+HE5*COS(HF5))</f>
        <v>3.1619593150890721</v>
      </c>
      <c r="HH5" s="10">
        <f>HD5*(COS(HG5)-HE5)</f>
        <v>-10.082887946197053</v>
      </c>
      <c r="HI5" s="10">
        <f>HD5*(SQRT(1-HE5*HE5)*SIN(HG5))</f>
        <v>-0.19428518114575977</v>
      </c>
      <c r="HJ5" s="1">
        <f>MOD(RADIANS(IF(HH5&gt;0,DEGREES(ATAN(HI5/HH5)),IF(HH5=0,IF(HI5&lt;0,-90,90),DEGREES(ATAN(HI5/HH5))+180))),2*PI())</f>
        <v>3.1608590723346226</v>
      </c>
      <c r="HK5" s="10">
        <f>SQRT(HH5*HH5+HI5*HI5)</f>
        <v>10.084759593920852</v>
      </c>
      <c r="HL5" s="10">
        <f>HK5*(COS(HA5)*COS(HJ5+HC5)-SIN(HA5)*SIN(HJ5+HC5)*COS(HB5))</f>
        <v>0.79780662384808998</v>
      </c>
      <c r="HM5" s="10">
        <f>HK5*(SIN(HA5)*COS(HJ5+HC5)+COS(HA5)*SIN(HJ5+HC5)*COS(HB5))</f>
        <v>-10.052111284213538</v>
      </c>
      <c r="HN5" s="10">
        <f>HK5*(SIN(HJ5+HC5)*SIN(HB5))</f>
        <v>0.14470448475988432</v>
      </c>
      <c r="HO5" s="10">
        <f>DEGREES(RADIANS(IF(HL5&gt;0,DEGREES(ATAN(HM5/HL5)),IF(HL5=0,IF(HM5&lt;0,-90,90),DEGREES(ATAN(HM5/HL5))+180))))+HV5</f>
        <v>-85.462006159315166</v>
      </c>
      <c r="HP5" s="10">
        <f>0.812*SIN(2*FW5-5*HF5-RADIANS(67.6))-0.229*COS(2*FW5-4*HF5-RADIANS(2))+0.119*SIN(FW5-2*HF5-RADIANS(3))+0.046*SIN(2*FW5-6*HF5-RADIANS(69))+0.014*SIN(FW5-3*HF5+RADIANS(32))</f>
        <v>-0.14479765913364934</v>
      </c>
      <c r="HQ5" s="1">
        <f>HO5+HP5</f>
        <v>-85.60680381844881</v>
      </c>
      <c r="HR5" s="1">
        <f>SQRT(HL5*HL5+HM5*HM5)</f>
        <v>10.083721370568954</v>
      </c>
      <c r="HS5" s="1">
        <f>DEGREES(RADIANS(IF(HR5&gt;0,DEGREES(ATAN(HN5/HR5)),IF(HR5=0,IF(HN5&lt;0,-90,90),DEGREES(ATAN(HN5/HR5))+180))))</f>
        <v>0.82215552141944714</v>
      </c>
      <c r="HT5" s="1">
        <f>-0.02*COS(2*FW5-4*HF5-RADIANS(2))+0.018*SIN(2*FW5-6*HF5-RADIANS(49))</f>
        <v>-2.3026832683587985E-3</v>
      </c>
      <c r="HU5" s="1">
        <f>HS5+HT5</f>
        <v>0.81985283815108834</v>
      </c>
      <c r="HV5" s="10">
        <f>0.0000382394*(365.2422*((2000-(36526-OBSERVATIONS!$U$35)/365)-2000)-($K5+1.5))</f>
        <v>1.0796960592413888E-4</v>
      </c>
      <c r="HW5" s="10">
        <f>HK5*COS(RADIANS(HQ5))*COS(RADIANS(HU5))</f>
        <v>0.77241983981486817</v>
      </c>
      <c r="HX5" s="10">
        <f>HK5*SIN(RADIANS(HQ5))*COS(RADIANS(HU5))</f>
        <v>-10.054099730540184</v>
      </c>
      <c r="HY5" s="10">
        <f>HK5*SIN(RADIANS(HU5))</f>
        <v>0.14429922588445573</v>
      </c>
      <c r="HZ5" s="2">
        <f>$AT5*COS($AU5+RADIANS(HV5))</f>
        <v>-1.1685162804368258E-2</v>
      </c>
      <c r="IA5" s="2">
        <f>$AT5*SIN($AU5+RADIANS(HV5))</f>
        <v>-0.98370505274379749</v>
      </c>
      <c r="IB5" s="2">
        <f t="shared" si="5"/>
        <v>0.7607346770104999</v>
      </c>
      <c r="IC5" s="1">
        <f t="shared" si="5"/>
        <v>-11.037804783283981</v>
      </c>
      <c r="ID5" s="1">
        <f>HY5</f>
        <v>0.14429922588445573</v>
      </c>
      <c r="IE5" s="1">
        <f>IB5</f>
        <v>0.7607346770104999</v>
      </c>
      <c r="IF5" s="10">
        <f>IC5*COS(RADIANS($AB5))-ID5*SIN(RADIANS($AB5))</f>
        <v>-10.18456368508075</v>
      </c>
      <c r="IG5" s="1">
        <f>IC5*SIN(RADIANS($AB5))+ID5*COS(RADIANS($AB5))</f>
        <v>-4.2577716290346075</v>
      </c>
      <c r="IH5" s="14">
        <f>DEGREES(RADIANS(IF(IE5&gt;0,DEGREES(ATAN(IF5/IE5)),IF(IE5=0,IF(IF5&lt;0,-90,90),DEGREES(ATAN(IF5/IE5))+180))))</f>
        <v>-85.728231845010328</v>
      </c>
      <c r="II5" s="1">
        <f>SQRT(IE5*IE5+IF5*IF5)</f>
        <v>10.212935655543506</v>
      </c>
      <c r="IJ5" s="14">
        <f>DEGREES(RADIANS(IF(II5&gt;0,DEGREES(ATAN(IG5/II5)),IF(II5=0,IF(IG5&lt;0,-90,90),DEGREES(ATAN(IG5/II5))+180))))</f>
        <v>-22.631249400526148</v>
      </c>
      <c r="IK5" s="1">
        <f>MOD($AG5-IH5-180,360)</f>
        <v>179.09199974411752</v>
      </c>
    </row>
    <row r="6" spans="2:245" s="1" customFormat="1" ht="15" customHeight="1">
      <c r="B6" s="8" t="s">
        <v>20</v>
      </c>
      <c r="C6" s="1">
        <f>(12+26/60+36/3600)</f>
        <v>12.443333333333333</v>
      </c>
      <c r="D6" s="1">
        <f>-63-5.5/60</f>
        <v>-63.091666666666669</v>
      </c>
      <c r="E6" s="9">
        <f>MOD(360-(C6+((3.075+1.336*SIN(RADIANS(C6))*TAN(RADIANS(D6)))*(OBSERVATIONS!$U$35-36526)/365)/3600)*15,360)</f>
        <v>173.15808074542085</v>
      </c>
      <c r="F6" s="9">
        <f>D6+(20.04*COS(RADIANS(C6*15))*(OBSERVATIONS!$U$35-36526)/365)/3600</f>
        <v>-63.193222433107934</v>
      </c>
      <c r="G6" s="9">
        <f>-17.3*SIN(RADIANS(125-0.05295*(OBSERVATIONS!$U$35-2451545)))-1.4*SIN(RADIANS(200+1.97129*(OBSERVATIONS!$U$35-2451545)))</f>
        <v>6.6308035321601082</v>
      </c>
      <c r="H6" s="9">
        <f>9.4*COS(RADIANS(125-0.05295*(OBSERVATIONS!$U$35-2451545)))+0.7*COS(RADIANS(200+1.97129*(OBSERVATIONS!$U$35-2451545)))</f>
        <v>-7.9109288482141293</v>
      </c>
      <c r="I6" s="10">
        <f t="shared" si="0"/>
        <v>173.16253726618652</v>
      </c>
      <c r="J6" s="10">
        <f t="shared" si="1"/>
        <v>-63.194423707036961</v>
      </c>
      <c r="K6" s="1">
        <f>-36525+OBSERVATIONS!$U$35-1.5+(OBSERVATIONS!U37+1)/24</f>
        <v>6704.166666666667</v>
      </c>
      <c r="L6" s="11">
        <f>360-MOD(280.46061837+360.98564736629*(K6),360)</f>
        <v>251.59516346082091</v>
      </c>
      <c r="M6" s="1">
        <f>K6/36525</f>
        <v>0.18355007985398131</v>
      </c>
      <c r="N6" s="4">
        <f>MOD(125.04452-1934.136261*M6,360)</f>
        <v>130.03365484496916</v>
      </c>
      <c r="O6" s="4">
        <f>MOD(280.4665+36000.7698*M6,360)</f>
        <v>48.410671594798259</v>
      </c>
      <c r="P6" s="4">
        <f>MOD(218.3165+481267.8813*M6,360)</f>
        <v>355.0745437713922</v>
      </c>
      <c r="Q6" s="4">
        <f>MOD(23.4393-0.0000003563*K6,360)</f>
        <v>23.436911305416665</v>
      </c>
      <c r="R6" s="4">
        <f>-(17.2*SIN(RADIANS(N6))-1.32*SIN(RADIANS(2*O6))-0.23*SIN(RADIANS(2*P6))+0.21*SIN(RADIANS(2*N6)))</f>
        <v>-11.691309098788331</v>
      </c>
      <c r="S6" s="4">
        <f>9.2*COS(RADIANS(N6))+0.57*COS(RADIANS(2*O6))+0.1*COS(RADIANS(2*P6))-0.09*COS(RADIANS(2*N6))</f>
        <v>-5.8714359342690603</v>
      </c>
      <c r="T6" s="4">
        <f>S6+Q6</f>
        <v>17.565475371147606</v>
      </c>
      <c r="U6" s="4">
        <f>R6*COS(RADIANS(T6))/3600</f>
        <v>-3.0961596787799669E-3</v>
      </c>
      <c r="V6" s="4">
        <f>MOD(360-L6-U6,360)</f>
        <v>108.40793269885786</v>
      </c>
      <c r="W6" s="4">
        <f>MOD(280.461+0.9856474*K6,360)</f>
        <v>48.405444166666712</v>
      </c>
      <c r="X6" s="4">
        <f>MOD(357.528+35999.05*M6,360)</f>
        <v>125.1565021674669</v>
      </c>
      <c r="Y6" s="4">
        <f>1.915*SIN(RADIANS(X6))+0.02*SIN(RADIANS(2*X6))</f>
        <v>1.5468391235283212</v>
      </c>
      <c r="Z6" s="4">
        <f>W6+Y6</f>
        <v>49.952283290195034</v>
      </c>
      <c r="AA6" s="4">
        <f>-Y6+2.466*SIN(RADIANS(2*Z6))-0.053*SIN(RADIANS(4*Z6))</f>
        <v>0.90036773376337509</v>
      </c>
      <c r="AB6" s="4">
        <f>Q6</f>
        <v>23.436911305416665</v>
      </c>
      <c r="AC6" s="4">
        <f>DEGREES(ASIN(SIN(RADIANS(AB6))*SIN(RADIANS(Z6))))</f>
        <v>17.726446884286425</v>
      </c>
      <c r="AD6" s="4">
        <f>COS(RADIANS(AB6))*SIN(RADIANS(Z6))</f>
        <v>0.70235329001951396</v>
      </c>
      <c r="AE6" s="4">
        <f>COS(RADIANS(Z6))</f>
        <v>0.64342535900360742</v>
      </c>
      <c r="AF6" s="4">
        <f>MOD(IF(AE6&lt;0,DEGREES(ATAN(AD6/AE6))+180,DEGREES(ATAN(AD6/AE6))),360)</f>
        <v>47.507222411175952</v>
      </c>
      <c r="AG6" s="4">
        <f>180-L6</f>
        <v>-71.595163460820913</v>
      </c>
      <c r="AH6" s="4">
        <f>MOD(AG6-AF6+180,360)</f>
        <v>60.897614128003141</v>
      </c>
      <c r="AI6" s="4">
        <v>0</v>
      </c>
      <c r="AJ6" s="12">
        <v>0</v>
      </c>
      <c r="AK6" s="12">
        <f>RADIANS(282.9404+0.0000470935*(K6+1.5))</f>
        <v>4.9437531999803044</v>
      </c>
      <c r="AL6" s="4">
        <v>1</v>
      </c>
      <c r="AM6" s="12">
        <f>0.016709-0.000000001151*(K6+1.5)</f>
        <v>1.6701281777666669E-2</v>
      </c>
      <c r="AN6" s="12">
        <f>MOD(RADIANS(356.047+0.9856002585*(K6+1.5)),2*PI())</f>
        <v>2.1843458828049265</v>
      </c>
      <c r="AO6" s="12">
        <f>AN6+AM6*SIN(AN6)*(1+AM6*COS(AN6))</f>
        <v>2.1978696985885828</v>
      </c>
      <c r="AP6" s="12">
        <f>RADIANS(MOD(23.4393-0.0000003563*(K6+1.5),360))</f>
        <v>0.40905125944949094</v>
      </c>
      <c r="AQ6" s="12">
        <f>COS(AO6)-AM6</f>
        <v>-0.60347872394284374</v>
      </c>
      <c r="AR6" s="12">
        <f>SQRT(1-AM6*AM6)*SIN(AO6)</f>
        <v>0.80963531252469834</v>
      </c>
      <c r="AS6" s="4">
        <f>MOD(RADIANS(IF(AQ6&gt;0,DEGREES(ATAN(AR6/AQ6)),IF(AQ6=0,IF(AR6&lt;0,-90,90),DEGREES(ATAN(AR6/AQ6))+180))),2*PI())</f>
        <v>2.2113283199637626</v>
      </c>
      <c r="AT6" s="12">
        <f>SQRT(AQ6*AQ6+AR6*AR6)</f>
        <v>1.009799935402379</v>
      </c>
      <c r="AU6" s="13">
        <f>AS6+AK6</f>
        <v>7.1550815199440674</v>
      </c>
      <c r="AV6" s="12">
        <f>AT6*COS(AU6)</f>
        <v>0.64968110235889132</v>
      </c>
      <c r="AW6" s="4">
        <f>AT6*SIN(AU6)</f>
        <v>0.77305263389783796</v>
      </c>
      <c r="AX6" s="12">
        <f>AV6</f>
        <v>0.64968110235889132</v>
      </c>
      <c r="AY6" s="4">
        <f>AW6*COS(AP6)</f>
        <v>0.70927469915342389</v>
      </c>
      <c r="AZ6" s="4">
        <f>AW6*SIN(AP6)</f>
        <v>0.30747321170665382</v>
      </c>
      <c r="BA6" s="4">
        <f>DEGREES(MOD(RADIANS(IF(AX6&gt;0,DEGREES(ATAN(AY6/AX6)),IF(AX6=0,IF(AY6&lt;0,-90,90),DEGREES(ATAN(AY6/AX6))+180))),PI()))</f>
        <v>47.510953913278932</v>
      </c>
      <c r="BB6" s="4">
        <f>SQRT(AX6*AX6+AY6*AY6)</f>
        <v>0.96185036966330906</v>
      </c>
      <c r="BC6" s="4">
        <f>DEGREES(RADIANS(IF(BB6&gt;0,DEGREES(ATAN(AZ6/BB6)),IF(BB6=0,IF(AZ6&lt;0,-90,90),DEGREES(ATAN(AZ6/BB6))+180))))</f>
        <v>17.727437819610188</v>
      </c>
      <c r="BD6" s="10">
        <f>RADIANS(125.1228-0.0529538083*(K6+1.5))</f>
        <v>-4.0136950599975387</v>
      </c>
      <c r="BE6" s="1">
        <f>RADIANS(5.1454)</f>
        <v>8.9804171332116239E-2</v>
      </c>
      <c r="BF6" s="10">
        <f>RADIANS(318.0634+0.1643573223*(K6+1.5))</f>
        <v>24.786970866596359</v>
      </c>
      <c r="BG6" s="1">
        <f>60.2666</f>
        <v>60.266599999999997</v>
      </c>
      <c r="BH6" s="10">
        <f>0.0549</f>
        <v>5.4899999999999997E-2</v>
      </c>
      <c r="BI6" s="10">
        <f>MOD(RADIANS(115.3654+13.0649929509*(K6+1.5)),2*PI())</f>
        <v>4.2734933212525945</v>
      </c>
      <c r="BJ6" s="10">
        <f>BI6+BH6*SIN(BI6)*(1+BH6*COS(BI6))</f>
        <v>4.2249560450029167</v>
      </c>
      <c r="BK6" s="10">
        <f>BG6*(COS(BJ6)-BH6)</f>
        <v>-31.535061010187569</v>
      </c>
      <c r="BL6" s="10">
        <f>BG6*(SQRT(1-BH6*BH6)*SIN(BJ6))</f>
        <v>-53.16753056912507</v>
      </c>
      <c r="BM6" s="1">
        <f>MOD(RADIANS(IF(BK6&gt;0,DEGREES(ATAN(BL6/BK6)),IF(BK6=0,IF(BL6&lt;0,-90,90),DEGREES(ATAN(BL6/BK6))+180))),2*PI())</f>
        <v>4.1770389968884167</v>
      </c>
      <c r="BN6" s="10">
        <f>SQRT(BK6*BK6+BL6*BL6)</f>
        <v>61.816230714393299</v>
      </c>
      <c r="BO6" s="10">
        <f>BN6*(COS(BD6)*COS(BM6+BF6)-SIN(BD6)*SIN(BM6+BF6)*COS(BE6))</f>
        <v>60.669116531793684</v>
      </c>
      <c r="BP6" s="10">
        <f>BN6*(SIN(BD6)*COS(BM6+BF6)+COS(BD6)*SIN(BM6+BF6)*COS(BE6))</f>
        <v>-11.316419351235865</v>
      </c>
      <c r="BQ6" s="10">
        <f>BN6*(SIN(BM6+BF6)*SIN(BE6))</f>
        <v>-3.5275107446631768</v>
      </c>
      <c r="BR6" s="1">
        <f>DEGREES(RADIANS(IF(BO6&gt;0,DEGREES(ATAN(BP6/BO6)),IF(BO6=0,IF(BP6&lt;0,-90,90),DEGREES(ATAN(BP6/BO6))+180))))</f>
        <v>-10.56578219414328</v>
      </c>
      <c r="BS6" s="1">
        <f>SQRT(BO6*BO6+BP6*BP6)</f>
        <v>61.715500870376054</v>
      </c>
      <c r="BT6" s="1">
        <f>DEGREES(RADIANS(IF(BS6&gt;0,DEGREES(ATAN(BQ6/BS6)),IF(BS6=0,IF(BQ6&lt;0,-90,90),DEGREES(ATAN(BQ6/BS6))+180))))</f>
        <v>-3.2713306467379191</v>
      </c>
      <c r="BU6" s="1">
        <f>AN6+AK6</f>
        <v>7.1280990827852309</v>
      </c>
      <c r="BV6" s="1">
        <f>BI6+BF6+BD6</f>
        <v>25.046769127851416</v>
      </c>
      <c r="BW6" s="1">
        <f>BV6-BU6</f>
        <v>17.918670045066186</v>
      </c>
      <c r="BX6" s="10">
        <f>BV6-BD6</f>
        <v>29.060464187848954</v>
      </c>
      <c r="BY6" s="1">
        <f>-1.274*SIN(BI6-2*BW6)</f>
        <v>0.18776390014445771</v>
      </c>
      <c r="BZ6" s="10">
        <f>BY6+0.658*SIN(2*BW6)</f>
        <v>-0.44257673718084173</v>
      </c>
      <c r="CA6" s="10">
        <f>BZ6-0.186*SIN(AN6)</f>
        <v>-0.59465209180619971</v>
      </c>
      <c r="CB6" s="10">
        <f>CA6-0.059*SIN(2*BI6-2*BW6)</f>
        <v>-0.54552232114155064</v>
      </c>
      <c r="CC6" s="10">
        <f>CB6-0.057*SIN(BI6-2*BW6+AN6)</f>
        <v>-0.5964540547339835</v>
      </c>
      <c r="CD6" s="10">
        <f>CC6+0.053*SIN(BI6+2*BW6)</f>
        <v>-0.56111505576169229</v>
      </c>
      <c r="CE6" s="10">
        <f>CD6+0.046*SIN(2*BW6-AN6)</f>
        <v>-0.5249529996515343</v>
      </c>
      <c r="CF6" s="10">
        <f>CE6+0.041*SIN(BI6-AN6)</f>
        <v>-0.48933887037415386</v>
      </c>
      <c r="CG6" s="10">
        <f>CF6-0.035*SIN(BW6)</f>
        <v>-0.46126364720769331</v>
      </c>
      <c r="CH6" s="10">
        <f>CG6-0.031*SIN(BI6+AN6)</f>
        <v>-0.46665043382522403</v>
      </c>
      <c r="CI6" s="10">
        <f>CH6-0.015*SIN(2*BX6-2*BW6)</f>
        <v>-0.46232609568497773</v>
      </c>
      <c r="CJ6" s="10">
        <f>CI6+0.011*SIN(BI6-4*BW6)</f>
        <v>-0.45143846019801637</v>
      </c>
      <c r="CK6" s="1">
        <f>RADIANS(CJ6+BR6)</f>
        <v>-0.19228677483697973</v>
      </c>
      <c r="CL6" s="10">
        <f>-0.173*SIN(BX6-2*BW6)</f>
        <v>8.1981068562617165E-2</v>
      </c>
      <c r="CM6" s="10">
        <f>CL6-0.055*SIN(BI6-BX6-2*BW6)</f>
        <v>3.7759148632929077E-2</v>
      </c>
      <c r="CN6" s="10">
        <f>CM6-0.046*SIN(BI6+BX6-2*BW6)</f>
        <v>6.5164053077004375E-2</v>
      </c>
      <c r="CO6" s="10">
        <f>CN6+0.033*SIN(BX6+2*BW6)</f>
        <v>9.420059225710356E-2</v>
      </c>
      <c r="CP6" s="10">
        <f>CO6+0.017*SIN(2*BI6+BX6)</f>
        <v>9.2644536108683215E-2</v>
      </c>
      <c r="CQ6" s="1">
        <f>RADIANS(CP6+BT6)</f>
        <v>-5.5478538517892889E-2</v>
      </c>
      <c r="CR6" s="10">
        <f>BN6-0.58*COS(BI6-2*BW6)</f>
        <v>61.242564467640044</v>
      </c>
      <c r="CS6" s="10">
        <f>CR6-0.46*COS(2*BW6)</f>
        <v>61.374532388765623</v>
      </c>
      <c r="CT6" s="10">
        <f>CS6*COS(CK6)*COS(CQ6)</f>
        <v>60.150700048268902</v>
      </c>
      <c r="CU6" s="10">
        <f>CS6*SIN(CK6)*COS(CQ6)</f>
        <v>-11.710874569053841</v>
      </c>
      <c r="CV6" s="10">
        <f>CS6*SIN(CQ6)</f>
        <v>-3.4032229534239078</v>
      </c>
      <c r="CW6" s="4">
        <f>CT6</f>
        <v>60.150700048268902</v>
      </c>
      <c r="CX6" s="4">
        <f>CU6*COS(AP6)-CV6*SIN(AP6)</f>
        <v>-9.3911162407416473</v>
      </c>
      <c r="CY6" s="12">
        <f>CU6*SIN(AP6)+CV6*COS(AP6)</f>
        <v>-7.7803242474656429</v>
      </c>
      <c r="CZ6" s="4">
        <f>DEGREES(RADIANS(IF(CW6&gt;0,DEGREES(ATAN(CX6/CW6)),IF(CW6=0,IF(CX6&lt;0,-90,90),DEGREES(ATAN(CX6/CW6))+180))))</f>
        <v>-8.8737497411908652</v>
      </c>
      <c r="DA6" s="4">
        <f>SQRT(CW6*CW6+CX6*CX6)</f>
        <v>60.879387156441858</v>
      </c>
      <c r="DB6" s="4">
        <f>DEGREES(RADIANS(IF(DA6&gt;0,DEGREES(ATAN(CY6/DA6)),IF(DA6=0,IF(CY6&lt;0,-90,90),DEGREES(ATAN(CY6/DA6))+180))))</f>
        <v>-7.2828647032150693</v>
      </c>
      <c r="DC6" s="4">
        <f>MOD(AG6-CZ6-180,360)</f>
        <v>117.27858628036995</v>
      </c>
      <c r="DD6" s="4">
        <f>RADIANS(49.5574+0.0000211081*(K6+1.5))</f>
        <v>0.8674102055146824</v>
      </c>
      <c r="DE6" s="4">
        <f>RADIANS(1.8497-0.0000000178*(K6+1.5))</f>
        <v>3.2281271934017745E-2</v>
      </c>
      <c r="DF6" s="4">
        <f>RADIANS(286.5016+0.0000292961*(K6+1.5))</f>
        <v>5.003824929474459</v>
      </c>
      <c r="DG6" s="4">
        <f>1.523688</f>
        <v>1.5236879999999999</v>
      </c>
      <c r="DH6" s="4">
        <f>0.093405+0.000000002516*(K6+1.5)</f>
        <v>9.3421871457333341E-2</v>
      </c>
      <c r="DI6" s="4">
        <f>MOD(RADIANS(18.6021+0.5240207766*(K6+1.5)),2*PI())</f>
        <v>5.105275759807256</v>
      </c>
      <c r="DJ6" s="12">
        <f>DI6+DH6*SIN(DI6)*(1+DH6*COS(DI6))</f>
        <v>5.0158850697862016</v>
      </c>
      <c r="DK6" s="12">
        <f>DG6*(COS(DJ6)-DH6)</f>
        <v>0.31302107519971373</v>
      </c>
      <c r="DL6" s="12">
        <f>DG6*(SQRT(1-DH6*DH6)*SIN(DJ6))</f>
        <v>-1.4476925011385329</v>
      </c>
      <c r="DM6" s="4">
        <f>MOD(RADIANS(IF(DK6&gt;0,DEGREES(ATAN(DL6/DK6)),IF(DK6=0,IF(DL6&lt;0,-90,90),DEGREES(ATAN(DL6/DK6))+180))),2*PI())</f>
        <v>4.9253316063766199</v>
      </c>
      <c r="DN6" s="12">
        <f>SQRT(DK6*DK6+DL6*DL6)</f>
        <v>1.4811467757693448</v>
      </c>
      <c r="DO6" s="12">
        <f>DN6*(COS(DD6)*COS(DM6+DF6)-SIN(DD6)*SIN(DM6+DF6)*COS(DE6))</f>
        <v>-0.29310203566186044</v>
      </c>
      <c r="DP6" s="12">
        <f>DN6*(SIN(DD6)*COS(DM6+DF6)+COS(DD6)*SIN(DM6+DF6)*COS(DE6))</f>
        <v>-1.4516725686951359</v>
      </c>
      <c r="DQ6" s="12">
        <f>DN6*(SIN(DM6+DF6)*SIN(DE6))</f>
        <v>-2.3102410282592037E-2</v>
      </c>
      <c r="DR6" s="4">
        <f>DEGREES(RADIANS(IF(DO6&gt;0,DEGREES(ATAN(DP6/DO6)),IF(DO6=0,IF(DP6&lt;0,-90,90),DEGREES(ATAN(DP6/DO6))+180))))+DU6</f>
        <v>258.58518291645851</v>
      </c>
      <c r="DS6" s="4">
        <f>SQRT(DO6*DO6+DP6*DP6)</f>
        <v>1.480966593144849</v>
      </c>
      <c r="DT6" s="4">
        <f>DEGREES(RADIANS(IF(DS6&gt;0,DEGREES(ATAN(DQ6/DS6)),IF(DS6=0,IF(DQ6&lt;0,-90,90),DEGREES(ATAN(DQ6/DS6))+180))))</f>
        <v>-0.89371580535834705</v>
      </c>
      <c r="DU6" s="12">
        <f>0.0000382394*(365.2422*((2000-(36526-OBSERVATIONS!$U$35)/365)-2000)-($K6+1.5))</f>
        <v>1.0637629759079395E-4</v>
      </c>
      <c r="DV6" s="12">
        <f>DN6*COS(RADIANS(DR6))*COS(RADIANS(DT6))</f>
        <v>-0.29309934046190944</v>
      </c>
      <c r="DW6" s="12">
        <f>DN6*SIN(RADIANS(DR6))*COS(RADIANS(DT6))</f>
        <v>-1.4516731128707503</v>
      </c>
      <c r="DX6" s="12">
        <f>DN6*SIN(RADIANS(DT6))</f>
        <v>-2.310241028259204E-2</v>
      </c>
      <c r="DY6" s="6">
        <f>$AT6*COS($AU6+RADIANS(DU6))</f>
        <v>0.6496796670953886</v>
      </c>
      <c r="DZ6" s="6">
        <f>$AT6*SIN($AU6+RADIANS(DU6))</f>
        <v>0.77305384010525025</v>
      </c>
      <c r="EA6" s="6">
        <f t="shared" si="2"/>
        <v>0.35658032663347916</v>
      </c>
      <c r="EB6" s="4">
        <f t="shared" si="2"/>
        <v>-0.67861927276550005</v>
      </c>
      <c r="EC6" s="4">
        <f>DX6</f>
        <v>-2.310241028259204E-2</v>
      </c>
      <c r="ED6" s="4">
        <f>EA6</f>
        <v>0.35658032663347916</v>
      </c>
      <c r="EE6" s="12">
        <f>EB6*COS(RADIANS($AB6))-EC6*SIN(RADIANS($AB6))</f>
        <v>-0.61344349058410863</v>
      </c>
      <c r="EF6" s="4">
        <f>EB6*SIN(RADIANS($AB6))+EC6*COS(RADIANS($AB6))</f>
        <v>-0.29110981190888441</v>
      </c>
      <c r="EG6" s="4">
        <f>DEGREES(RADIANS(IF(ED6&gt;0,DEGREES(ATAN(EE6/ED6)),IF(ED6=0,IF(EE6&lt;0,-90,90),DEGREES(ATAN(EE6/ED6))+180))))</f>
        <v>-59.831566599164582</v>
      </c>
      <c r="EH6" s="4">
        <f>SQRT(ED6*ED6+EE6*EE6)</f>
        <v>0.70955087589407861</v>
      </c>
      <c r="EI6" s="4">
        <f>DEGREES(RADIANS(IF(EH6&gt;0,DEGREES(ATAN(EF6/EH6)),IF(EH6=0,IF(EF6&lt;0,-90,90),DEGREES(ATAN(EF6/EH6))+180))))</f>
        <v>-22.30703559851646</v>
      </c>
      <c r="EJ6" s="4">
        <f>MOD($AG6-EG6-180,360)</f>
        <v>168.23640313834366</v>
      </c>
      <c r="EK6" s="10">
        <f>RADIANS(76.6799+0.000024659*(K6+1.5))</f>
        <v>1.3412027148838648</v>
      </c>
      <c r="EL6" s="10">
        <f>RADIANS(3.3946+0.0000000275*(K6+1.5))</f>
        <v>5.925016527715106E-2</v>
      </c>
      <c r="EM6" s="10">
        <f>RADIANS(54.891+0.0000138374*(K6+1.5))</f>
        <v>0.95964815313105056</v>
      </c>
      <c r="EN6" s="10">
        <f>0.72333</f>
        <v>0.72333000000000003</v>
      </c>
      <c r="EO6" s="1">
        <f>0.006773-0.000000001302*(K6+1.5)</f>
        <v>6.7642692220000007E-3</v>
      </c>
      <c r="EP6" s="10">
        <f>MOD(RADIANS(48.0052+1.6021302244*(K6+1.5)),2*PI())</f>
        <v>6.1323267508393329</v>
      </c>
      <c r="EQ6" s="10">
        <f>EP6+EO6*SIN(EP6)*(1+EO6*COS(EP6))</f>
        <v>6.1313033708258198</v>
      </c>
      <c r="ER6" s="10">
        <f>EN6*(COS(EQ6)-EO6)</f>
        <v>0.71011029424238814</v>
      </c>
      <c r="ES6" s="10">
        <f>EN6*(SQRT(1-EO6*EO6)*SIN(EQ6))</f>
        <v>-0.10943636394588439</v>
      </c>
      <c r="ET6" s="1">
        <f>MOD(RADIANS(IF(ER6&gt;0,DEGREES(ATAN(ES6/ER6)),IF(ER6=0,IF(ES6&lt;0,-90,90),DEGREES(ATAN(ES6/ER6))+180))),2*PI())</f>
        <v>6.130276501195639</v>
      </c>
      <c r="EU6" s="10">
        <f>SQRT(ER6*ER6+ES6*ES6)</f>
        <v>0.71849352658371757</v>
      </c>
      <c r="EV6" s="10">
        <f>EU6*(COS(EK6)*COS(ET6+EM6)-SIN(EK6)*SIN(ET6+EM6)*COS(EL6))</f>
        <v>-0.39114820529040217</v>
      </c>
      <c r="EW6" s="10">
        <f>EU6*(SIN(EK6)*COS(ET6+EM6)+COS(EK6)*SIN(ET6+EM6)*COS(EL6))</f>
        <v>0.60190724438169252</v>
      </c>
      <c r="EX6" s="10">
        <f>EU6*(SIN(ET6+EM6)*SIN(EL6))</f>
        <v>3.0719674504167061E-2</v>
      </c>
      <c r="EY6" s="1">
        <f>DEGREES(RADIANS(IF(EV6&gt;0,DEGREES(ATAN(EW6/EV6)),IF(EV6=0,IF(EW6&lt;0,-90,90),DEGREES(ATAN(EW6/EV6))+180))))+FB6</f>
        <v>123.01785030219608</v>
      </c>
      <c r="EZ6" s="1">
        <f>SQRT(EV6*EV6+EW6*EW6)</f>
        <v>0.71783650599636206</v>
      </c>
      <c r="FA6" s="1">
        <f>DEGREES(RADIANS(IF(EZ6&gt;0,DEGREES(ATAN(EX6/EZ6)),IF(EZ6=0,IF(EX6&lt;0,-90,90),DEGREES(ATAN(EX6/EZ6))+180))))</f>
        <v>2.4504666133937323</v>
      </c>
      <c r="FB6" s="10">
        <f>0.0000382394*(365.2422*((2000-(36526-OBSERVATIONS!$U$35)/365)-2000)-($K6+1.5))</f>
        <v>1.0637629759079395E-4</v>
      </c>
      <c r="FC6" s="10">
        <f>EU6*COS(RADIANS(EY6))*COS(RADIANS(FA6))</f>
        <v>-0.39114932280073328</v>
      </c>
      <c r="FD6" s="10">
        <f>EU6*SIN(RADIANS(EY6))*COS(RADIANS(FA6))</f>
        <v>0.60190651816838892</v>
      </c>
      <c r="FE6" s="10">
        <f>EU6*SIN(RADIANS(FA6))</f>
        <v>3.0719674504167068E-2</v>
      </c>
      <c r="FF6" s="2">
        <f>$AT6*COS($AU6+RADIANS(FB6))</f>
        <v>0.6496796670953886</v>
      </c>
      <c r="FG6" s="2">
        <f>$AT6*SIN($AU6+RADIANS(FB6))</f>
        <v>0.77305384010525025</v>
      </c>
      <c r="FH6" s="2">
        <f t="shared" si="3"/>
        <v>0.25853034429465532</v>
      </c>
      <c r="FI6" s="1">
        <f t="shared" si="3"/>
        <v>1.3749603582736392</v>
      </c>
      <c r="FJ6" s="1">
        <f>FE6</f>
        <v>3.0719674504167068E-2</v>
      </c>
      <c r="FK6" s="1">
        <f>FH6</f>
        <v>0.25853034429465532</v>
      </c>
      <c r="FL6" s="10">
        <f>FI6*COS(RADIANS($AB6))-FJ6*SIN(RADIANS($AB6))</f>
        <v>1.2493057664957496</v>
      </c>
      <c r="FM6" s="1">
        <f>FI6*SIN(RADIANS($AB6))+FJ6*COS(RADIANS($AB6))</f>
        <v>0.57506068116859099</v>
      </c>
      <c r="FN6" s="14">
        <f>DEGREES(RADIANS(IF(FK6&gt;0,DEGREES(ATAN(FL6/FK6)),IF(FK6=0,IF(FL6&lt;0,-90,90),DEGREES(ATAN(FL6/FK6))+180))))</f>
        <v>78.308287213874621</v>
      </c>
      <c r="FO6" s="1">
        <f>SQRT(FK6*FK6+FL6*FL6)</f>
        <v>1.2757753866259709</v>
      </c>
      <c r="FP6" s="14">
        <f>DEGREES(RADIANS(IF(FO6&gt;0,DEGREES(ATAN(FM6/FO6)),IF(FO6=0,IF(FM6&lt;0,-90,90),DEGREES(ATAN(FM6/FO6))+180))))</f>
        <v>24.263654557667433</v>
      </c>
      <c r="FQ6" s="1">
        <f>MOD($AG6-FN6-180,360)</f>
        <v>30.096549325304466</v>
      </c>
      <c r="FR6" s="10">
        <f>RADIANS(100.4542+0.0000276854*(K6+1.5))</f>
        <v>1.7564967248757701</v>
      </c>
      <c r="FS6" s="10">
        <f>RADIANS(1.303-0.0000001557*(K6+1.5))</f>
        <v>2.2723417654222242E-2</v>
      </c>
      <c r="FT6" s="10">
        <f>RADIANS(273.8777+0.0000164505*(K6+1.5))</f>
        <v>4.7819929128800922</v>
      </c>
      <c r="FU6" s="10">
        <f>5.20256</f>
        <v>5.2025600000000001</v>
      </c>
      <c r="FV6" s="10">
        <f>0.048498+0.000000004469*(K6+1.5)</f>
        <v>4.8527967624333333E-2</v>
      </c>
      <c r="FW6" s="10">
        <f>MOD(RADIANS(19.895+0.0830853001*(K6+1.5)),2*PI())</f>
        <v>3.7880159623451952</v>
      </c>
      <c r="FX6" s="10">
        <f>FW6+FV6*SIN(FW6)*(1+FV6*COS(FW6))</f>
        <v>3.7599181496104013</v>
      </c>
      <c r="FY6" s="10">
        <f>FU6*(COS(FX6)-FV6)</f>
        <v>-4.4917770363513458</v>
      </c>
      <c r="FZ6" s="10">
        <f>FU6*(SQRT(1-FV6*FV6)*SIN(FX6))</f>
        <v>-3.0122226648655102</v>
      </c>
      <c r="GA6" s="1">
        <f>MOD(RADIANS(IF(FY6&gt;0,DEGREES(ATAN(FZ6/FY6)),IF(FY6=0,IF(FZ6&lt;0,-90,90),DEGREES(ATAN(FZ6/FY6))+180))),2*PI())</f>
        <v>3.7323190724952839</v>
      </c>
      <c r="GB6" s="10">
        <f>SQRT(FY6*FY6+FZ6*FZ6)</f>
        <v>5.4082849709517671</v>
      </c>
      <c r="GC6" s="10">
        <f>GB6*(COS(FR6)*COS(GA6+FT6)-SIN(FR6)*SIN(GA6+FT6)*COS(FS6))</f>
        <v>-3.5843926116453786</v>
      </c>
      <c r="GD6" s="10">
        <f>GB6*(SIN(FR6)*COS(GA6+FT6)+COS(FR6)*SIN(GA6+FT6)*COS(FS6))</f>
        <v>-4.0487352001543542</v>
      </c>
      <c r="GE6" s="10">
        <f>GB6*(SIN(GA6+FT6)*SIN(FS6))</f>
        <v>9.7052623024115867E-2</v>
      </c>
      <c r="GF6" s="10">
        <f>DEGREES(RADIANS(IF(GC6&gt;0,DEGREES(ATAN(GD6/GC6)),IF(GC6=0,IF(GD6&lt;0,-90,90),DEGREES(ATAN(GD6/GC6))+180))))+GK6</f>
        <v>228.48126454883979</v>
      </c>
      <c r="GG6" s="10">
        <f>(-0.332*SIN(2*FW6-5*HF6-RADIANS(67.6))-0.056*SIN(2*FW6-2*HF6+RADIANS(21))+0.042*SIN(3*FW6-5*HF6+RADIANS(21))-0.036*SIN(FW6-2*HF6)+0.022*COS(FW6-HF6)+0.023*SIN(2*FW6-3*HF6+RADIANS(52))-0.016*SIN(FW6-5*HF6-RADIANS(69)))</f>
        <v>8.581903541955007E-3</v>
      </c>
      <c r="GH6" s="1">
        <f>GF6+GG6</f>
        <v>228.48984645238176</v>
      </c>
      <c r="GI6" s="1">
        <f>SQRT(GC6*GC6+GD6*GD6)</f>
        <v>5.4074140876565853</v>
      </c>
      <c r="GJ6" s="1">
        <f>DEGREES(RADIANS(IF(GI6&gt;0,DEGREES(ATAN(GE6/GI6)),IF(GI6=0,IF(GE6&lt;0,-90,90),DEGREES(ATAN(GE6/GI6))+180))))</f>
        <v>1.0282380116429313</v>
      </c>
      <c r="GK6" s="10">
        <f>0.0000382394*(365.2422*((2000-(36526-OBSERVATIONS!$U$35)/365)-2000)-($K6+1.5))</f>
        <v>1.0637629759079395E-4</v>
      </c>
      <c r="GL6" s="10">
        <f>GB6*COS(RADIANS(GH6))*COS(RADIANS(GJ6))</f>
        <v>-3.5837786239177087</v>
      </c>
      <c r="GM6" s="10">
        <f>GB6*SIN(RADIANS(GH6))*COS(RADIANS(GJ6))</f>
        <v>-4.049278687635292</v>
      </c>
      <c r="GN6" s="10">
        <f>GB6*SIN(RADIANS(GJ6))</f>
        <v>9.7052623024115839E-2</v>
      </c>
      <c r="GO6" s="2">
        <f>$AT6*COS($AU6+RADIANS(GK6))</f>
        <v>0.6496796670953886</v>
      </c>
      <c r="GP6" s="2">
        <f>$AT6*SIN($AU6+RADIANS(GK6))</f>
        <v>0.77305384010525025</v>
      </c>
      <c r="GQ6" s="2">
        <f t="shared" si="4"/>
        <v>-2.9340989568223201</v>
      </c>
      <c r="GR6" s="1">
        <f t="shared" si="4"/>
        <v>-3.2762248475300417</v>
      </c>
      <c r="GS6" s="1">
        <f>GN6</f>
        <v>9.7052623024115839E-2</v>
      </c>
      <c r="GT6" s="1">
        <f>GQ6</f>
        <v>-2.9340989568223201</v>
      </c>
      <c r="GU6" s="10">
        <f>GR6*COS(RADIANS($AB6))-GS6*SIN(RADIANS($AB6))</f>
        <v>-3.0445332734656696</v>
      </c>
      <c r="GV6" s="1">
        <f>GR6*SIN(RADIANS($AB6))+GS6*COS(RADIANS($AB6))</f>
        <v>-1.2140369063457346</v>
      </c>
      <c r="GW6" s="14">
        <f>DEGREES(RADIANS(IF(GT6&gt;0,DEGREES(ATAN(GU6/GT6)),IF(GT6=0,IF(GU6&lt;0,-90,90),DEGREES(ATAN(GU6/GT6))+180))))</f>
        <v>226.05821875801985</v>
      </c>
      <c r="GX6" s="1">
        <f>SQRT(GT6*GT6+GU6*GU6)</f>
        <v>4.2282525399584889</v>
      </c>
      <c r="GY6" s="14">
        <f>DEGREES(RADIANS(IF(GX6&gt;0,DEGREES(ATAN(GV6/GX6)),IF(GX6=0,IF(GV6&lt;0,-90,90),DEGREES(ATAN(GV6/GX6))+180))))</f>
        <v>-16.020094468159915</v>
      </c>
      <c r="GZ6" s="1">
        <f>MOD($AG6-GW6-180,360)</f>
        <v>242.34661778115924</v>
      </c>
      <c r="HA6" s="10">
        <f>RADIANS(113.6634+0.000023898*(K6+1.5))</f>
        <v>1.986597494428201</v>
      </c>
      <c r="HB6" s="10">
        <f>RADIANS(2.4886-0.0000001081*(K6+1.5))</f>
        <v>4.3421612177652238E-2</v>
      </c>
      <c r="HC6" s="10">
        <f>RADIANS(339.3939+0.0000297661*(K6+1.5))</f>
        <v>5.9270247203291371</v>
      </c>
      <c r="HD6" s="10">
        <f>9.55475</f>
        <v>9.5547500000000003</v>
      </c>
      <c r="HE6" s="10">
        <f>0.055546-0.000000009499*(K6+1.5)</f>
        <v>5.5482302872333335E-2</v>
      </c>
      <c r="HF6" s="1">
        <f>MOD(RADIANS(316.967+0.0334442282*(K6+1.5)),2*PI())</f>
        <v>3.1631098795287809</v>
      </c>
      <c r="HG6" s="10">
        <f>HF6+HE6*SIN(HF6)*(1+HE6*COS(HF6))</f>
        <v>3.1619823621331506</v>
      </c>
      <c r="HH6" s="10">
        <f>HD6*(COS(HG6)-HE6)</f>
        <v>-10.082883455271404</v>
      </c>
      <c r="HI6" s="10">
        <f>HD6*(SQRT(1-HE6*HE6)*SIN(HG6))</f>
        <v>-0.1945050050493875</v>
      </c>
      <c r="HJ6" s="1">
        <f>MOD(RADIANS(IF(HH6&gt;0,DEGREES(ATAN(HI6/HH6)),IF(HH6=0,IF(HI6&lt;0,-90,90),DEGREES(ATAN(HI6/HH6))+180))),2*PI())</f>
        <v>3.1608808745033623</v>
      </c>
      <c r="HK6" s="10">
        <f>SQRT(HH6*HH6+HI6*HI6)</f>
        <v>10.084759341182865</v>
      </c>
      <c r="HL6" s="10">
        <f>HK6*(COS(HA6)*COS(HJ6+HC6)-SIN(HA6)*SIN(HJ6+HC6)*COS(HB6))</f>
        <v>0.79802600235824483</v>
      </c>
      <c r="HM6" s="10">
        <f>HK6*(SIN(HA6)*COS(HJ6+HC6)+COS(HA6)*SIN(HJ6+HC6)*COS(HB6))</f>
        <v>-10.05209374666504</v>
      </c>
      <c r="HN6" s="10">
        <f>HK6*(SIN(HJ6+HC6)*SIN(HB6))</f>
        <v>0.14469546431303323</v>
      </c>
      <c r="HO6" s="10">
        <f>DEGREES(RADIANS(IF(HL6&gt;0,DEGREES(ATAN(HM6/HL6)),IF(HL6=0,IF(HM6&lt;0,-90,90),DEGREES(ATAN(HM6/HL6))+180))))+HV6</f>
        <v>-85.460757265788473</v>
      </c>
      <c r="HP6" s="10">
        <f>0.812*SIN(2*FW6-5*HF6-RADIANS(67.6))-0.229*COS(2*FW6-4*HF6-RADIANS(2))+0.119*SIN(FW6-2*HF6-RADIANS(3))+0.046*SIN(2*FW6-6*HF6-RADIANS(69))+0.014*SIN(FW6-3*HF6+RADIANS(32))</f>
        <v>-0.14479448822330154</v>
      </c>
      <c r="HQ6" s="1">
        <f>HO6+HP6</f>
        <v>-85.605551754011771</v>
      </c>
      <c r="HR6" s="1">
        <f>SQRT(HL6*HL6+HM6*HM6)</f>
        <v>10.083721247247084</v>
      </c>
      <c r="HS6" s="1">
        <f>DEGREES(RADIANS(IF(HR6&gt;0,DEGREES(ATAN(HN6/HR6)),IF(HR6=0,IF(HN6&lt;0,-90,90),DEGREES(ATAN(HN6/HR6))+180))))</f>
        <v>0.82210428777843958</v>
      </c>
      <c r="HT6" s="1">
        <f>-0.02*COS(2*FW6-4*HF6-RADIANS(2))+0.018*SIN(2*FW6-6*HF6-RADIANS(49))</f>
        <v>-2.3026793307875304E-3</v>
      </c>
      <c r="HU6" s="1">
        <f>HS6+HT6</f>
        <v>0.81980160844765204</v>
      </c>
      <c r="HV6" s="10">
        <f>0.0000382394*(365.2422*((2000-(36526-OBSERVATIONS!$U$35)/365)-2000)-($K6+1.5))</f>
        <v>1.0637629759079395E-4</v>
      </c>
      <c r="HW6" s="10">
        <f>HK6*COS(RADIANS(HQ6))*COS(RADIANS(HU6))</f>
        <v>0.77263953884370684</v>
      </c>
      <c r="HX6" s="10">
        <f>HK6*SIN(RADIANS(HQ6))*COS(RADIANS(HU6))</f>
        <v>-10.054082725390904</v>
      </c>
      <c r="HY6" s="10">
        <f>HK6*SIN(RADIANS(HU6))</f>
        <v>0.14429020613555804</v>
      </c>
      <c r="HZ6" s="2">
        <f>$AT6*COS($AU6+RADIANS(HV6))</f>
        <v>0.6496796670953886</v>
      </c>
      <c r="IA6" s="2">
        <f>$AT6*SIN($AU6+RADIANS(HV6))</f>
        <v>0.77305384010525025</v>
      </c>
      <c r="IB6" s="2">
        <f t="shared" si="5"/>
        <v>1.4223192059390954</v>
      </c>
      <c r="IC6" s="1">
        <f t="shared" si="5"/>
        <v>-9.2810288852856537</v>
      </c>
      <c r="ID6" s="1">
        <f>HY6</f>
        <v>0.14429020613555804</v>
      </c>
      <c r="IE6" s="1">
        <f>IB6</f>
        <v>1.4223192059390954</v>
      </c>
      <c r="IF6" s="10">
        <f>IC6*COS(RADIANS($AB6))-ID6*SIN(RADIANS($AB6))</f>
        <v>-8.5727207013891498</v>
      </c>
      <c r="IG6" s="1">
        <f>IC6*SIN(RADIANS($AB6))+ID6*COS(RADIANS($AB6))</f>
        <v>-3.55904152955079</v>
      </c>
      <c r="IH6" s="14">
        <f>DEGREES(RADIANS(IF(IE6&gt;0,DEGREES(ATAN(IF6/IE6)),IF(IE6=0,IF(IF6&lt;0,-90,90),DEGREES(ATAN(IF6/IE6))+180))))</f>
        <v>-80.579740714265341</v>
      </c>
      <c r="II6" s="1">
        <f>SQRT(IE6*IE6+IF6*IF6)</f>
        <v>8.6899097893827015</v>
      </c>
      <c r="IJ6" s="14">
        <f>DEGREES(RADIANS(IF(II6&gt;0,DEGREES(ATAN(IG6/II6)),IF(II6=0,IF(IG6&lt;0,-90,90),DEGREES(ATAN(IG6/II6))+180))))</f>
        <v>-22.272055371176805</v>
      </c>
      <c r="IK6" s="1">
        <f>MOD($AG6-IH6-180,360)</f>
        <v>188.98457725344443</v>
      </c>
    </row>
    <row r="7" spans="2:245" s="1" customFormat="1" ht="15" customHeight="1">
      <c r="B7" s="8" t="s">
        <v>21</v>
      </c>
      <c r="C7" s="1">
        <f>(6+58/60+39/3600)</f>
        <v>6.9775</v>
      </c>
      <c r="D7" s="1">
        <f>-28-58.4/60</f>
        <v>-28.973333333333333</v>
      </c>
      <c r="E7" s="9">
        <f>MOD(360-(C7+((3.075+1.336*SIN(RADIANS(C7))*TAN(RADIANS(D7)))*(OBSERVATIONS!$U$35-36526)/365)/3600)*15,360)</f>
        <v>255.10904848130141</v>
      </c>
      <c r="F7" s="9">
        <f>D7+(20.04*COS(RADIANS(C7*15))*(OBSERVATIONS!$U$35-36526)/365)/3600</f>
        <v>-28.999213739077355</v>
      </c>
      <c r="G7" s="9">
        <f>-17.3*SIN(RADIANS(125-0.05295*(OBSERVATIONS!$U$35-2451545)))-1.4*SIN(RADIANS(200+1.97129*(OBSERVATIONS!$U$35-2451545)))</f>
        <v>6.6308035321601082</v>
      </c>
      <c r="H7" s="9">
        <f>9.4*COS(RADIANS(125-0.05295*(OBSERVATIONS!$U$35-2451545)))+0.7*COS(RADIANS(200+1.97129*(OBSERVATIONS!$U$35-2451545)))</f>
        <v>-7.9109288482141293</v>
      </c>
      <c r="I7" s="10">
        <f t="shared" si="0"/>
        <v>255.10899029057541</v>
      </c>
      <c r="J7" s="10">
        <f t="shared" si="1"/>
        <v>-28.999666153525386</v>
      </c>
      <c r="K7" s="1">
        <f>VLOOKUP(OBSERVATIONS!U7,O7:P69,2,FALSE)</f>
        <v>1</v>
      </c>
      <c r="L7" s="11"/>
      <c r="N7" s="4"/>
      <c r="O7" s="4" t="s">
        <v>17</v>
      </c>
      <c r="P7" s="4">
        <v>1</v>
      </c>
      <c r="Q7" s="4">
        <f>AH4</f>
        <v>46.980623563386189</v>
      </c>
      <c r="R7" s="4">
        <f>AH5</f>
        <v>45.897264866969294</v>
      </c>
      <c r="S7" s="4">
        <f>AH6</f>
        <v>60.897614128003141</v>
      </c>
      <c r="T7" s="4">
        <f>AC4</f>
        <v>17.716405528161928</v>
      </c>
      <c r="U7" s="4">
        <f>AC5</f>
        <v>17.715623555315492</v>
      </c>
      <c r="V7" s="4">
        <f>AC6</f>
        <v>17.726446884286425</v>
      </c>
      <c r="W7" s="4"/>
      <c r="X7" s="4"/>
      <c r="Y7" s="4">
        <f>MOD(Q7+OBSERVATIONS!$AO$13,360)</f>
        <v>116.90562356338619</v>
      </c>
      <c r="Z7" s="4">
        <f t="shared" ref="Z7:Z38" si="6">IF(Y7&gt;180,360-Y7,Y7)</f>
        <v>116.90562356338619</v>
      </c>
      <c r="AA7" s="4">
        <f>T7</f>
        <v>17.716405528161928</v>
      </c>
      <c r="AB7" s="4">
        <f t="shared" ref="AB7:AB38" si="7">IF(Y7&gt;90,IF(Y7&lt;270,1,0),0)</f>
        <v>1</v>
      </c>
      <c r="AC7" s="4">
        <f>ABS(TAN(RADIANS(ABS(OBSERVATIONS!$AO$12)))/TAN(RADIANS(ABS(Z7))))</f>
        <v>0.19180088142143364</v>
      </c>
      <c r="AD7" s="4">
        <f>IF(AB7=0,IF(OBSERVATIONS!$AY$35="N",-AC7,AC7),IF(OBSERVATIONS!$AY$35="N",AC7,-AC7))</f>
        <v>0.19180088142143364</v>
      </c>
      <c r="AE7" s="4">
        <f t="shared" ref="AE7:AE38" si="8">IF(AA7&gt;0,ABS(TAN(RADIANS(AA7))/SIN(RADIANS(Y7))),-ABS(TAN(RADIANS(AA7))/SIN(RADIANS(Y7))))</f>
        <v>0.35823393817099952</v>
      </c>
      <c r="AF7" s="4">
        <f t="shared" ref="AF7:AF38" si="9">AD7+AE7</f>
        <v>0.55003481959243317</v>
      </c>
      <c r="AG7" s="4">
        <f>ABS(DEGREES(ATAN(1/(COS(RADIANS(ABS(OBSERVATIONS!$AO$12)))*AF7))))</f>
        <v>62.773734822936163</v>
      </c>
      <c r="AH7" s="4">
        <f t="shared" ref="AH7:AH38" si="10">IF(AF7&lt;0,IF(Y7&lt;180,180+AG7,180-AG7),IF(Y7&lt;180,360-AG7,AG7))</f>
        <v>297.22626517706385</v>
      </c>
      <c r="AI7" s="4">
        <f>AA7-OBSERVATIONS!$AO$12</f>
        <v>-2.9885944718380699</v>
      </c>
      <c r="AJ7" s="12">
        <f>DEGREES(ASIN(SIN(RADIANS(OBSERVATIONS!$AO$12))*SIN(RADIANS(AA7))+COS(RADIANS(OBSERVATIONS!$AO$12))*COS(RADIANS(AA7))*COS(RADIANS(Y7))))</f>
        <v>-17.195374740957366</v>
      </c>
      <c r="AK7" s="12">
        <f t="shared" ref="AK7:AK38" si="11">AJ7</f>
        <v>-17.195374740957366</v>
      </c>
      <c r="AL7" s="1" t="s">
        <v>17</v>
      </c>
      <c r="AM7" s="12">
        <f t="shared" ref="AM7:AM38" si="12">AH7</f>
        <v>297.22626517706385</v>
      </c>
      <c r="AN7" s="12">
        <f t="shared" ref="AN7:AN38" si="13">AJ7</f>
        <v>-17.195374740957366</v>
      </c>
      <c r="AO7" s="12">
        <v>1.205954867767647</v>
      </c>
      <c r="AP7" s="12"/>
      <c r="AQ7" s="12"/>
      <c r="AR7" s="12"/>
      <c r="AS7" s="4"/>
      <c r="AT7" s="12"/>
      <c r="AU7" s="13"/>
      <c r="AV7" s="12"/>
      <c r="AW7" s="4"/>
      <c r="AX7" s="12"/>
      <c r="AY7" s="4"/>
      <c r="AZ7" s="4"/>
      <c r="BA7" s="4"/>
      <c r="BB7" s="4"/>
      <c r="BC7" s="4"/>
      <c r="BD7" s="10"/>
      <c r="BF7" s="10"/>
      <c r="BH7" s="10"/>
      <c r="BI7" s="10"/>
      <c r="BJ7" s="10"/>
      <c r="BK7" s="10"/>
      <c r="BL7" s="10"/>
      <c r="BN7" s="10"/>
      <c r="BO7" s="10"/>
      <c r="BP7" s="10"/>
      <c r="BQ7" s="10"/>
      <c r="BX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L7" s="10"/>
      <c r="CM7" s="10"/>
      <c r="CN7" s="10"/>
      <c r="CO7" s="10"/>
      <c r="CP7" s="10"/>
      <c r="CR7" s="10"/>
      <c r="CS7" s="10"/>
      <c r="CT7" s="10"/>
      <c r="CU7" s="10"/>
      <c r="CV7" s="10"/>
      <c r="CW7" s="4"/>
      <c r="CX7" s="4"/>
      <c r="CY7" s="12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</row>
    <row r="8" spans="2:245" s="1" customFormat="1" ht="15" customHeight="1">
      <c r="B8" s="8" t="s">
        <v>22</v>
      </c>
      <c r="C8" s="1">
        <f>(4+35/60+56/3600)</f>
        <v>4.5988888888888884</v>
      </c>
      <c r="D8" s="1">
        <f>16+30.5/60</f>
        <v>16.508333333333333</v>
      </c>
      <c r="E8" s="9">
        <f>MOD(360-(C8+((3.075+1.336*SIN(RADIANS(C8))*TAN(RADIANS(D8)))*(OBSERVATIONS!$U$35-36526)/365)/3600)*15,360)</f>
        <v>290.77890828737543</v>
      </c>
      <c r="F8" s="9">
        <f>D8+(20.04*COS(RADIANS(C8*15))*(OBSERVATIONS!$U$35-36526)/365)/3600</f>
        <v>16.54500194610802</v>
      </c>
      <c r="G8" s="9">
        <f>-17.3*SIN(RADIANS(125-0.05295*(OBSERVATIONS!$U$35-2451545)))-1.4*SIN(RADIANS(200+1.97129*(OBSERVATIONS!$U$35-2451545)))</f>
        <v>6.6308035321601082</v>
      </c>
      <c r="H8" s="9">
        <f>9.4*COS(RADIANS(125-0.05295*(OBSERVATIONS!$U$35-2451545)))+0.7*COS(RADIANS(200+1.97129*(OBSERVATIONS!$U$35-2451545)))</f>
        <v>-7.9109288482141293</v>
      </c>
      <c r="I8" s="10">
        <f t="shared" si="0"/>
        <v>290.77965265584095</v>
      </c>
      <c r="J8" s="10">
        <f t="shared" si="1"/>
        <v>16.545088529556804</v>
      </c>
      <c r="L8" s="11"/>
      <c r="N8" s="4"/>
      <c r="O8" s="4" t="s">
        <v>4</v>
      </c>
      <c r="P8" s="4">
        <v>1</v>
      </c>
      <c r="Q8" s="4">
        <f>DC4</f>
        <v>103.78801079653579</v>
      </c>
      <c r="R8" s="4">
        <f>DC5</f>
        <v>102.7378401120676</v>
      </c>
      <c r="S8" s="4">
        <f>DC6</f>
        <v>117.27858628036995</v>
      </c>
      <c r="T8" s="4">
        <f>DB4</f>
        <v>-7.4438694898465041</v>
      </c>
      <c r="U8" s="4">
        <f>DB5</f>
        <v>-7.4563755422183036</v>
      </c>
      <c r="V8" s="4">
        <f>DB6</f>
        <v>-7.2828647032150693</v>
      </c>
      <c r="W8" s="4"/>
      <c r="X8" s="4"/>
      <c r="Y8" s="4">
        <f>MOD(Q8+OBSERVATIONS!$AO$13,360)</f>
        <v>173.7130107965358</v>
      </c>
      <c r="Z8" s="4">
        <f t="shared" si="6"/>
        <v>173.7130107965358</v>
      </c>
      <c r="AA8" s="4">
        <f>T8</f>
        <v>-7.4438694898465041</v>
      </c>
      <c r="AB8" s="4">
        <f t="shared" si="7"/>
        <v>1</v>
      </c>
      <c r="AC8" s="4">
        <f>ABS(TAN(RADIANS(ABS(OBSERVATIONS!$AO$12)))/TAN(RADIANS(ABS(Z8))))</f>
        <v>3.4307359339805727</v>
      </c>
      <c r="AD8" s="4">
        <f>IF(AB8=0,IF(OBSERVATIONS!$AY$35="N",-AC8,AC8),IF(OBSERVATIONS!$AY$35="N",AC8,-AC8))</f>
        <v>3.4307359339805727</v>
      </c>
      <c r="AE8" s="4">
        <f t="shared" si="8"/>
        <v>-1.1931116427060942</v>
      </c>
      <c r="AF8" s="4">
        <f t="shared" si="9"/>
        <v>2.2376242912744786</v>
      </c>
      <c r="AG8" s="4">
        <f>ABS(DEGREES(ATAN(1/(COS(RADIANS(ABS(OBSERVATIONS!$AO$12)))*AF8))))</f>
        <v>25.536582555039043</v>
      </c>
      <c r="AH8" s="4">
        <f t="shared" si="10"/>
        <v>334.46341744496095</v>
      </c>
      <c r="AI8" s="4">
        <f>AA8-OBSERVATIONS!$AO$12</f>
        <v>-28.148869489846504</v>
      </c>
      <c r="AJ8" s="12">
        <f>DEGREES(ASIN(SIN(RADIANS(OBSERVATIONS!$AO$12))*SIN(RADIANS(AA8))+COS(RADIANS(OBSERVATIONS!$AO$12))*COS(RADIANS(AA8))*COS(RADIANS(Y8))))</f>
        <v>-75.410741517921409</v>
      </c>
      <c r="AK8" s="12">
        <f t="shared" si="11"/>
        <v>-75.410741517921409</v>
      </c>
      <c r="AL8" s="1" t="s">
        <v>4</v>
      </c>
      <c r="AM8" s="12">
        <f t="shared" si="12"/>
        <v>334.46341744496095</v>
      </c>
      <c r="AN8" s="12">
        <f t="shared" si="13"/>
        <v>-75.410741517921409</v>
      </c>
      <c r="AO8" s="12"/>
      <c r="AP8" s="12"/>
      <c r="AQ8" s="12"/>
      <c r="AR8" s="12"/>
      <c r="AS8" s="4"/>
      <c r="AT8" s="12"/>
      <c r="AU8" s="13"/>
      <c r="AV8" s="12"/>
      <c r="AW8" s="4"/>
      <c r="AX8" s="12"/>
      <c r="AY8" s="4"/>
      <c r="AZ8" s="4"/>
      <c r="BA8" s="4"/>
      <c r="BB8" s="4"/>
      <c r="BC8" s="4"/>
      <c r="BD8" s="10"/>
      <c r="BF8" s="10"/>
      <c r="BH8" s="10"/>
      <c r="BI8" s="10"/>
      <c r="BJ8" s="10"/>
      <c r="BK8" s="10"/>
      <c r="BL8" s="10"/>
      <c r="BN8" s="10"/>
      <c r="BO8" s="10"/>
      <c r="BP8" s="10"/>
      <c r="BQ8" s="10"/>
      <c r="BX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L8" s="10"/>
      <c r="CM8" s="10"/>
      <c r="CN8" s="10"/>
      <c r="CO8" s="10"/>
      <c r="CP8" s="10"/>
      <c r="CR8" s="10"/>
      <c r="CS8" s="10"/>
      <c r="CT8" s="10"/>
      <c r="CU8" s="10"/>
      <c r="CV8" s="10"/>
      <c r="CW8" s="4"/>
      <c r="CX8" s="4"/>
      <c r="CY8" s="12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</row>
    <row r="9" spans="2:245" s="1" customFormat="1" ht="15" customHeight="1">
      <c r="B9" s="8" t="s">
        <v>23</v>
      </c>
      <c r="C9" s="1">
        <f>(12+54/60+0/3600)</f>
        <v>12.9</v>
      </c>
      <c r="D9" s="1">
        <f>55+57.4/60</f>
        <v>55.956666666666663</v>
      </c>
      <c r="E9" s="9">
        <f>MOD(360-(C9+((3.075+1.336*SIN(RADIANS(C9))*TAN(RADIANS(D9)))*(OBSERVATIONS!$U$35-36526)/365)/3600)*15,360)</f>
        <v>166.23088557997033</v>
      </c>
      <c r="F9" s="9">
        <f>D9+(20.04*COS(RADIANS(C9*15))*(OBSERVATIONS!$U$35-36526)/365)/3600</f>
        <v>55.857248013968963</v>
      </c>
      <c r="G9" s="9">
        <f>-17.3*SIN(RADIANS(125-0.05295*(OBSERVATIONS!$U$35-2451545)))-1.4*SIN(RADIANS(200+1.97129*(OBSERVATIONS!$U$35-2451545)))</f>
        <v>6.6308035321601082</v>
      </c>
      <c r="H9" s="9">
        <f>9.4*COS(RADIANS(125-0.05295*(OBSERVATIONS!$U$35-2451545)))+0.7*COS(RADIANS(200+1.97129*(OBSERVATIONS!$U$35-2451545)))</f>
        <v>-7.9109288482141293</v>
      </c>
      <c r="I9" s="10">
        <f t="shared" si="0"/>
        <v>166.22727485710215</v>
      </c>
      <c r="J9" s="10">
        <f t="shared" si="1"/>
        <v>55.856044967125179</v>
      </c>
      <c r="L9" s="11"/>
      <c r="N9" s="4"/>
      <c r="O9" s="4" t="s">
        <v>18</v>
      </c>
      <c r="P9" s="4">
        <v>0</v>
      </c>
      <c r="Q9" s="4"/>
      <c r="R9" s="4"/>
      <c r="S9" s="4"/>
      <c r="T9" s="4"/>
      <c r="U9" s="4"/>
      <c r="V9" s="4"/>
      <c r="W9" s="4"/>
      <c r="X9" s="4"/>
      <c r="Y9" s="4">
        <f>MOD(V$4+OBSERVATIONS!$AO$13+I4,360)</f>
        <v>119.57914238631992</v>
      </c>
      <c r="Z9" s="4">
        <f t="shared" si="6"/>
        <v>119.57914238631992</v>
      </c>
      <c r="AA9" s="4">
        <f t="shared" ref="AA9:AA42" si="14">J4</f>
        <v>-40.236749999588838</v>
      </c>
      <c r="AB9" s="4">
        <f t="shared" si="7"/>
        <v>1</v>
      </c>
      <c r="AC9" s="4">
        <f>ABS(TAN(RADIANS(ABS(OBSERVATIONS!$AO$12)))/TAN(RADIANS(ABS(Z9))))</f>
        <v>0.21453388648190735</v>
      </c>
      <c r="AD9" s="4">
        <f>IF(AB9=0,IF(OBSERVATIONS!$AY$35="N",-AC9,AC9),IF(OBSERVATIONS!$AY$35="N",AC9,-AC9))</f>
        <v>0.21453388648190735</v>
      </c>
      <c r="AE9" s="4">
        <f t="shared" si="8"/>
        <v>-0.97296793058739039</v>
      </c>
      <c r="AF9" s="4">
        <f t="shared" si="9"/>
        <v>-0.7584340441054831</v>
      </c>
      <c r="AG9" s="4">
        <f>ABS(DEGREES(ATAN(1/(COS(RADIANS(ABS(OBSERVATIONS!$AO$12)))*AF9))))</f>
        <v>54.646235211247514</v>
      </c>
      <c r="AH9" s="4">
        <f t="shared" si="10"/>
        <v>234.64623521124753</v>
      </c>
      <c r="AI9" s="4">
        <f>AA9-OBSERVATIONS!$AO$12</f>
        <v>-60.941749999588836</v>
      </c>
      <c r="AJ9" s="12">
        <f>DEGREES(ASIN(SIN(RADIANS(OBSERVATIONS!$AO$12))*SIN(RADIANS(AA9))+COS(RADIANS(OBSERVATIONS!$AO$12))*COS(RADIANS(AA9))*COS(RADIANS(Y9))))</f>
        <v>-35.511448429352043</v>
      </c>
      <c r="AK9" s="12">
        <f t="shared" si="11"/>
        <v>-35.511448429352043</v>
      </c>
      <c r="AL9" s="1" t="s">
        <v>18</v>
      </c>
      <c r="AM9" s="12">
        <f t="shared" si="12"/>
        <v>234.64623521124753</v>
      </c>
      <c r="AN9" s="12">
        <f t="shared" si="13"/>
        <v>-35.511448429352043</v>
      </c>
      <c r="AO9" s="12"/>
      <c r="AP9" s="12"/>
      <c r="AQ9" s="12"/>
      <c r="AR9" s="12"/>
      <c r="AS9" s="4"/>
      <c r="AT9" s="12"/>
      <c r="AU9" s="13"/>
      <c r="AV9" s="12"/>
      <c r="AW9" s="4"/>
      <c r="AX9" s="12"/>
      <c r="AY9" s="4"/>
      <c r="AZ9" s="4"/>
      <c r="BA9" s="4"/>
      <c r="BB9" s="4"/>
      <c r="BC9" s="4"/>
      <c r="BD9" s="10"/>
      <c r="BF9" s="10"/>
      <c r="BH9" s="10"/>
      <c r="BI9" s="10"/>
      <c r="BJ9" s="10"/>
      <c r="BK9" s="10"/>
      <c r="BL9" s="10"/>
      <c r="BN9" s="10"/>
      <c r="BO9" s="10"/>
      <c r="BP9" s="10"/>
      <c r="BQ9" s="10"/>
      <c r="BX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L9" s="10"/>
      <c r="CM9" s="10"/>
      <c r="CN9" s="10"/>
      <c r="CO9" s="10"/>
      <c r="CP9" s="10"/>
      <c r="CR9" s="10"/>
      <c r="CS9" s="10"/>
      <c r="CT9" s="10"/>
      <c r="CU9" s="10"/>
      <c r="CV9" s="10"/>
      <c r="CW9" s="4"/>
      <c r="CX9" s="4"/>
      <c r="CY9" s="12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</row>
    <row r="10" spans="2:245" s="1" customFormat="1" ht="15" customHeight="1">
      <c r="B10" s="8" t="s">
        <v>24</v>
      </c>
      <c r="C10" s="1">
        <f>(13+47/60+31/3600)</f>
        <v>13.791944444444445</v>
      </c>
      <c r="D10" s="1">
        <f>49+18.7/60</f>
        <v>49.311666666666667</v>
      </c>
      <c r="E10" s="9">
        <f>MOD(360-(C10+((3.075+1.336*SIN(RADIANS(C10))*TAN(RADIANS(D10)))*(OBSERVATIONS!$U$35-36526)/365)/3600)*15,360)</f>
        <v>152.85715483777449</v>
      </c>
      <c r="F10" s="9">
        <f>D10+(20.04*COS(RADIANS(C10*15))*(OBSERVATIONS!$U$35-36526)/365)/3600</f>
        <v>49.220469215466537</v>
      </c>
      <c r="G10" s="9">
        <f>-17.3*SIN(RADIANS(125-0.05295*(OBSERVATIONS!$U$35-2451545)))-1.4*SIN(RADIANS(200+1.97129*(OBSERVATIONS!$U$35-2451545)))</f>
        <v>6.6308035321601082</v>
      </c>
      <c r="H10" s="9">
        <f>9.4*COS(RADIANS(125-0.05295*(OBSERVATIONS!$U$35-2451545)))+0.7*COS(RADIANS(200+1.97129*(OBSERVATIONS!$U$35-2451545)))</f>
        <v>-7.9109288482141293</v>
      </c>
      <c r="I10" s="10">
        <f t="shared" si="0"/>
        <v>152.85449151329223</v>
      </c>
      <c r="J10" s="10">
        <f t="shared" si="1"/>
        <v>49.219291799027793</v>
      </c>
      <c r="L10" s="11"/>
      <c r="N10" s="4"/>
      <c r="O10" s="4" t="s">
        <v>19</v>
      </c>
      <c r="P10" s="4">
        <v>0</v>
      </c>
      <c r="Q10" s="4"/>
      <c r="R10" s="4"/>
      <c r="S10" s="4"/>
      <c r="T10" s="4"/>
      <c r="U10" s="4"/>
      <c r="V10" s="4"/>
      <c r="W10" s="4"/>
      <c r="X10" s="4"/>
      <c r="Y10" s="4">
        <f>MOD(V$4+OBSERVATIONS!$AO$13+I5,360)</f>
        <v>139.71487977260767</v>
      </c>
      <c r="Z10" s="4">
        <f t="shared" si="6"/>
        <v>139.71487977260767</v>
      </c>
      <c r="AA10" s="4">
        <f t="shared" si="14"/>
        <v>-57.149638569244402</v>
      </c>
      <c r="AB10" s="4">
        <f t="shared" si="7"/>
        <v>1</v>
      </c>
      <c r="AC10" s="4">
        <f>ABS(TAN(RADIANS(ABS(OBSERVATIONS!$AO$12)))/TAN(RADIANS(ABS(Z10))))</f>
        <v>0.4459195650263203</v>
      </c>
      <c r="AD10" s="4">
        <f>IF(AB10=0,IF(OBSERVATIONS!$AY$35="N",-AC10,AC10),IF(OBSERVATIONS!$AY$35="N",AC10,-AC10))</f>
        <v>0.4459195650263203</v>
      </c>
      <c r="AE10" s="4">
        <f t="shared" si="8"/>
        <v>-2.3951823509114112</v>
      </c>
      <c r="AF10" s="4">
        <f t="shared" si="9"/>
        <v>-1.9492627858850908</v>
      </c>
      <c r="AG10" s="4">
        <f>ABS(DEGREES(ATAN(1/(COS(RADIANS(ABS(OBSERVATIONS!$AO$12)))*AF10))))</f>
        <v>28.741958760599939</v>
      </c>
      <c r="AH10" s="4">
        <f t="shared" si="10"/>
        <v>208.74195876059994</v>
      </c>
      <c r="AI10" s="4">
        <f>AA10-OBSERVATIONS!$AO$12</f>
        <v>-77.854638569244401</v>
      </c>
      <c r="AJ10" s="12">
        <f>DEGREES(ASIN(SIN(RADIANS(OBSERVATIONS!$AO$12))*SIN(RADIANS(AA10))+COS(RADIANS(OBSERVATIONS!$AO$12))*COS(RADIANS(AA10))*COS(RADIANS(Y10))))</f>
        <v>-43.164202617740102</v>
      </c>
      <c r="AK10" s="12">
        <f t="shared" si="11"/>
        <v>-43.164202617740102</v>
      </c>
      <c r="AL10" s="1" t="s">
        <v>19</v>
      </c>
      <c r="AM10" s="12">
        <f t="shared" si="12"/>
        <v>208.74195876059994</v>
      </c>
      <c r="AN10" s="12">
        <f t="shared" si="13"/>
        <v>-43.164202617740102</v>
      </c>
      <c r="AO10" s="12"/>
      <c r="AP10" s="12"/>
      <c r="AQ10" s="12"/>
      <c r="AR10" s="12"/>
      <c r="AS10" s="4"/>
      <c r="AT10" s="12"/>
      <c r="AU10" s="13"/>
      <c r="AV10" s="12"/>
      <c r="AW10" s="4"/>
      <c r="AX10" s="12"/>
      <c r="AY10" s="4"/>
      <c r="AZ10" s="4"/>
      <c r="BA10" s="4"/>
      <c r="BB10" s="4"/>
      <c r="BC10" s="4"/>
      <c r="BD10" s="10"/>
      <c r="BF10" s="10"/>
      <c r="BH10" s="10"/>
      <c r="BI10" s="10"/>
      <c r="BJ10" s="10"/>
      <c r="BK10" s="10"/>
      <c r="BL10" s="10"/>
      <c r="BN10" s="10"/>
      <c r="BO10" s="10"/>
      <c r="BP10" s="10"/>
      <c r="BQ10" s="10"/>
      <c r="BX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L10" s="10"/>
      <c r="CM10" s="10"/>
      <c r="CN10" s="10"/>
      <c r="CO10" s="10"/>
      <c r="CP10" s="10"/>
      <c r="CR10" s="10"/>
      <c r="CS10" s="10"/>
      <c r="CT10" s="10"/>
      <c r="CU10" s="10"/>
      <c r="CV10" s="10"/>
      <c r="CW10" s="4"/>
      <c r="CX10" s="4"/>
      <c r="CY10" s="12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</row>
    <row r="11" spans="2:245" s="1" customFormat="1" ht="15" customHeight="1">
      <c r="B11" s="8" t="s">
        <v>25</v>
      </c>
      <c r="C11" s="1">
        <f>(22+8/60+11/3600)</f>
        <v>22.136388888888888</v>
      </c>
      <c r="D11" s="1">
        <f>-46-57.9/60</f>
        <v>-46.965000000000003</v>
      </c>
      <c r="E11" s="9">
        <f>MOD(360-(C11+((3.075+1.336*SIN(RADIANS(C11))*TAN(RADIANS(D11)))*(OBSERVATIONS!$U$35-36526)/365)/3600)*15,360)</f>
        <v>27.760102161275711</v>
      </c>
      <c r="F11" s="9">
        <f>D11+(20.04*COS(RADIANS(C11*15))*(OBSERVATIONS!$U$35-36526)/365)/3600</f>
        <v>-46.874685843981418</v>
      </c>
      <c r="G11" s="9">
        <f>-17.3*SIN(RADIANS(125-0.05295*(OBSERVATIONS!$U$35-2451545)))-1.4*SIN(RADIANS(200+1.97129*(OBSERVATIONS!$U$35-2451545)))</f>
        <v>6.6308035321601082</v>
      </c>
      <c r="H11" s="9">
        <f>9.4*COS(RADIANS(125-0.05295*(OBSERVATIONS!$U$35-2451545)))+0.7*COS(RADIANS(200+1.97129*(OBSERVATIONS!$U$35-2451545)))</f>
        <v>-7.9109288482141293</v>
      </c>
      <c r="I11" s="10">
        <f t="shared" si="0"/>
        <v>27.758333717115136</v>
      </c>
      <c r="J11" s="10">
        <f t="shared" si="1"/>
        <v>-46.874866668282635</v>
      </c>
      <c r="L11" s="11"/>
      <c r="N11" s="4"/>
      <c r="O11" s="15" t="s">
        <v>20</v>
      </c>
      <c r="P11" s="4">
        <v>0</v>
      </c>
      <c r="Q11" s="4"/>
      <c r="R11" s="4"/>
      <c r="S11" s="4"/>
      <c r="T11" s="4"/>
      <c r="U11" s="4"/>
      <c r="V11" s="4"/>
      <c r="W11" s="4"/>
      <c r="X11" s="4"/>
      <c r="Y11" s="4">
        <f>MOD(V$4+OBSERVATIONS!$AO$13+I6,360)</f>
        <v>337.54070162872102</v>
      </c>
      <c r="Z11" s="4">
        <f t="shared" si="6"/>
        <v>22.459298371278976</v>
      </c>
      <c r="AA11" s="4">
        <f t="shared" si="14"/>
        <v>-63.194423707036961</v>
      </c>
      <c r="AB11" s="4">
        <f t="shared" si="7"/>
        <v>0</v>
      </c>
      <c r="AC11" s="4">
        <f>ABS(TAN(RADIANS(ABS(OBSERVATIONS!$AO$12)))/TAN(RADIANS(ABS(Z11))))</f>
        <v>0.91433263906759565</v>
      </c>
      <c r="AD11" s="4">
        <f>IF(AB11=0,IF(OBSERVATIONS!$AY$35="N",-AC11,AC11),IF(OBSERVATIONS!$AY$35="N",AC11,-AC11))</f>
        <v>-0.91433263906759565</v>
      </c>
      <c r="AE11" s="4">
        <f t="shared" si="8"/>
        <v>-5.1807455869464212</v>
      </c>
      <c r="AF11" s="4">
        <f t="shared" si="9"/>
        <v>-6.0950782260140173</v>
      </c>
      <c r="AG11" s="4">
        <f>ABS(DEGREES(ATAN(1/(COS(RADIANS(ABS(OBSERVATIONS!$AO$12)))*AF11))))</f>
        <v>9.9482038600309899</v>
      </c>
      <c r="AH11" s="4">
        <f t="shared" si="10"/>
        <v>170.05179613996901</v>
      </c>
      <c r="AI11" s="4">
        <f>AA11-OBSERVATIONS!$AO$12</f>
        <v>-83.899423707036959</v>
      </c>
      <c r="AJ11" s="12">
        <f>DEGREES(ASIN(SIN(RADIANS(OBSERVATIONS!$AO$12))*SIN(RADIANS(AA11))+COS(RADIANS(OBSERVATIONS!$AO$12))*COS(RADIANS(AA11))*COS(RADIANS(Y11))))</f>
        <v>4.259747141089405</v>
      </c>
      <c r="AK11" s="12">
        <f t="shared" si="11"/>
        <v>4.259747141089405</v>
      </c>
      <c r="AL11" s="8" t="s">
        <v>20</v>
      </c>
      <c r="AM11" s="12">
        <f t="shared" si="12"/>
        <v>170.05179613996901</v>
      </c>
      <c r="AN11" s="12">
        <f t="shared" si="13"/>
        <v>4.259747141089405</v>
      </c>
      <c r="AO11" s="12"/>
      <c r="AP11" s="12"/>
      <c r="AQ11" s="12"/>
      <c r="AR11" s="12"/>
      <c r="AS11" s="4"/>
      <c r="AT11" s="12"/>
      <c r="AU11" s="13"/>
      <c r="AV11" s="12"/>
      <c r="AW11" s="4"/>
      <c r="AX11" s="12"/>
      <c r="AY11" s="4"/>
      <c r="AZ11" s="4"/>
      <c r="BA11" s="4"/>
      <c r="BB11" s="4"/>
      <c r="BC11" s="4"/>
      <c r="BD11" s="10"/>
      <c r="BF11" s="10"/>
      <c r="BH11" s="10"/>
      <c r="BI11" s="10"/>
      <c r="BJ11" s="10"/>
      <c r="BK11" s="10"/>
      <c r="BL11" s="10"/>
      <c r="BN11" s="10"/>
      <c r="BO11" s="10"/>
      <c r="BP11" s="10"/>
      <c r="BQ11" s="10"/>
      <c r="BX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L11" s="10"/>
      <c r="CM11" s="10"/>
      <c r="CN11" s="10"/>
      <c r="CO11" s="10"/>
      <c r="CP11" s="10"/>
      <c r="CR11" s="10"/>
      <c r="CS11" s="10"/>
      <c r="CT11" s="10"/>
      <c r="CU11" s="10"/>
      <c r="CV11" s="10"/>
      <c r="CW11" s="4"/>
      <c r="CX11" s="4"/>
      <c r="CY11" s="12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</row>
    <row r="12" spans="2:245" s="1" customFormat="1" ht="15" customHeight="1">
      <c r="B12" s="8" t="s">
        <v>26</v>
      </c>
      <c r="C12" s="1">
        <f>(5+36/60+13/3600)</f>
        <v>5.6036111111111104</v>
      </c>
      <c r="D12" s="1">
        <f>-1-11.7/60</f>
        <v>-1.1950000000000001</v>
      </c>
      <c r="E12" s="9">
        <f>MOD(360-(C12+((3.075+1.336*SIN(RADIANS(C12))*TAN(RADIANS(D12)))*(OBSERVATIONS!$U$35-36526)/365)/3600)*15,360)</f>
        <v>275.71071282214996</v>
      </c>
      <c r="F12" s="9">
        <f>D12+(20.04*COS(RADIANS(C12*15))*(OBSERVATIONS!$U$35-36526)/365)/3600</f>
        <v>-1.1844087631130247</v>
      </c>
      <c r="G12" s="9">
        <f>-17.3*SIN(RADIANS(125-0.05295*(OBSERVATIONS!$U$35-2451545)))-1.4*SIN(RADIANS(200+1.97129*(OBSERVATIONS!$U$35-2451545)))</f>
        <v>6.6308035321601082</v>
      </c>
      <c r="H12" s="9">
        <f>9.4*COS(RADIANS(125-0.05295*(OBSERVATIONS!$U$35-2451545)))+0.7*COS(RADIANS(200+1.97129*(OBSERVATIONS!$U$35-2451545)))</f>
        <v>-7.9109288482141293</v>
      </c>
      <c r="I12" s="10">
        <f t="shared" si="0"/>
        <v>275.71094051645525</v>
      </c>
      <c r="J12" s="10">
        <f t="shared" si="1"/>
        <v>-1.1845474379697361</v>
      </c>
      <c r="L12" s="11"/>
      <c r="N12" s="4"/>
      <c r="O12" s="15" t="s">
        <v>21</v>
      </c>
      <c r="P12" s="4">
        <v>0</v>
      </c>
      <c r="Q12" s="4"/>
      <c r="R12" s="4"/>
      <c r="S12" s="4"/>
      <c r="T12" s="4"/>
      <c r="U12" s="4"/>
      <c r="V12" s="4"/>
      <c r="W12" s="4"/>
      <c r="X12" s="4"/>
      <c r="Y12" s="4">
        <f>MOD(V$4+OBSERVATIONS!$AO$13+I7,360)</f>
        <v>59.487154653109883</v>
      </c>
      <c r="Z12" s="4">
        <f t="shared" si="6"/>
        <v>59.487154653109883</v>
      </c>
      <c r="AA12" s="4">
        <f t="shared" si="14"/>
        <v>-28.999666153525386</v>
      </c>
      <c r="AB12" s="4">
        <f t="shared" si="7"/>
        <v>0</v>
      </c>
      <c r="AC12" s="4">
        <f>ABS(TAN(RADIANS(ABS(OBSERVATIONS!$AO$12)))/TAN(RADIANS(ABS(Z12))))</f>
        <v>0.22275446426133672</v>
      </c>
      <c r="AD12" s="4">
        <f>IF(AB12=0,IF(OBSERVATIONS!$AY$35="N",-AC12,AC12),IF(OBSERVATIONS!$AY$35="N",AC12,-AC12))</f>
        <v>-0.22275446426133672</v>
      </c>
      <c r="AE12" s="4">
        <f t="shared" si="8"/>
        <v>-0.6434028519644962</v>
      </c>
      <c r="AF12" s="4">
        <f t="shared" si="9"/>
        <v>-0.86615731622583292</v>
      </c>
      <c r="AG12" s="4">
        <f>ABS(DEGREES(ATAN(1/(COS(RADIANS(ABS(OBSERVATIONS!$AO$12)))*AF12))))</f>
        <v>50.985090945738229</v>
      </c>
      <c r="AH12" s="4">
        <f t="shared" si="10"/>
        <v>230.98509094573822</v>
      </c>
      <c r="AI12" s="4">
        <f>AA12-OBSERVATIONS!$AO$12</f>
        <v>-49.70466615352538</v>
      </c>
      <c r="AJ12" s="12">
        <f>DEGREES(ASIN(SIN(RADIANS(OBSERVATIONS!$AO$12))*SIN(RADIANS(AA12))+COS(RADIANS(OBSERVATIONS!$AO$12))*COS(RADIANS(AA12))*COS(RADIANS(Y12))))</f>
        <v>14.12193869089973</v>
      </c>
      <c r="AK12" s="12">
        <f t="shared" si="11"/>
        <v>14.12193869089973</v>
      </c>
      <c r="AL12" s="8" t="s">
        <v>21</v>
      </c>
      <c r="AM12" s="12">
        <f t="shared" si="12"/>
        <v>230.98509094573822</v>
      </c>
      <c r="AN12" s="12">
        <f t="shared" si="13"/>
        <v>14.12193869089973</v>
      </c>
      <c r="AO12" s="12"/>
      <c r="AP12" s="12"/>
      <c r="AQ12" s="12"/>
      <c r="AR12" s="12"/>
      <c r="AS12" s="4"/>
      <c r="AT12" s="12"/>
      <c r="AU12" s="13"/>
      <c r="AV12" s="12"/>
      <c r="AW12" s="4"/>
      <c r="AX12" s="12"/>
      <c r="AY12" s="4"/>
      <c r="AZ12" s="4"/>
      <c r="BA12" s="4"/>
      <c r="BB12" s="4"/>
      <c r="BC12" s="4"/>
      <c r="BD12" s="10"/>
      <c r="BF12" s="10"/>
      <c r="BH12" s="10"/>
      <c r="BI12" s="10"/>
      <c r="BJ12" s="10"/>
      <c r="BK12" s="10"/>
      <c r="BL12" s="10"/>
      <c r="BN12" s="10"/>
      <c r="BO12" s="10"/>
      <c r="BP12" s="10"/>
      <c r="BQ12" s="10"/>
      <c r="BX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L12" s="10"/>
      <c r="CM12" s="10"/>
      <c r="CN12" s="10"/>
      <c r="CO12" s="10"/>
      <c r="CP12" s="10"/>
      <c r="CR12" s="10"/>
      <c r="CS12" s="10"/>
      <c r="CT12" s="10"/>
      <c r="CU12" s="10"/>
      <c r="CV12" s="10"/>
      <c r="CW12" s="4"/>
      <c r="CX12" s="4"/>
      <c r="CY12" s="12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</row>
    <row r="13" spans="2:245" s="1" customFormat="1" ht="15" customHeight="1">
      <c r="B13" s="8" t="s">
        <v>27</v>
      </c>
      <c r="C13" s="1">
        <f>(9+27/60+36/3600)</f>
        <v>9.4599999999999991</v>
      </c>
      <c r="D13" s="1">
        <f>-8-39.5/60</f>
        <v>-8.6583333333333332</v>
      </c>
      <c r="E13" s="9">
        <f>MOD(360-(C13+((3.075+1.336*SIN(RADIANS(C13))*TAN(RADIANS(D13)))*(OBSERVATIONS!$U$35-36526)/365)/3600)*15,360)</f>
        <v>217.86723020257386</v>
      </c>
      <c r="F13" s="9">
        <f>D13+(20.04*COS(RADIANS(C13*15))*(OBSERVATIONS!$U$35-36526)/365)/3600</f>
        <v>-8.7387924446271423</v>
      </c>
      <c r="G13" s="9">
        <f>-17.3*SIN(RADIANS(125-0.05295*(OBSERVATIONS!$U$35-2451545)))-1.4*SIN(RADIANS(200+1.97129*(OBSERVATIONS!$U$35-2451545)))</f>
        <v>6.6308035321601082</v>
      </c>
      <c r="H13" s="9">
        <f>9.4*COS(RADIANS(125-0.05295*(OBSERVATIONS!$U$35-2451545)))+0.7*COS(RADIANS(200+1.97129*(OBSERVATIONS!$U$35-2451545)))</f>
        <v>-7.9109288482141293</v>
      </c>
      <c r="I13" s="10">
        <f t="shared" si="0"/>
        <v>217.86747856974324</v>
      </c>
      <c r="J13" s="10">
        <f t="shared" si="1"/>
        <v>-8.7397302105730734</v>
      </c>
      <c r="L13" s="11"/>
      <c r="N13" s="4"/>
      <c r="O13" s="15" t="s">
        <v>22</v>
      </c>
      <c r="P13" s="4">
        <v>0</v>
      </c>
      <c r="Q13" s="4"/>
      <c r="R13" s="4"/>
      <c r="S13" s="4"/>
      <c r="T13" s="4"/>
      <c r="U13" s="4"/>
      <c r="V13" s="4"/>
      <c r="W13" s="4"/>
      <c r="X13" s="4"/>
      <c r="Y13" s="4">
        <f>MOD(V$4+OBSERVATIONS!$AO$13+I8,360)</f>
        <v>95.157817018375454</v>
      </c>
      <c r="Z13" s="4">
        <f t="shared" si="6"/>
        <v>95.157817018375454</v>
      </c>
      <c r="AA13" s="4">
        <f t="shared" si="14"/>
        <v>16.545088529556804</v>
      </c>
      <c r="AB13" s="4">
        <f t="shared" si="7"/>
        <v>1</v>
      </c>
      <c r="AC13" s="4">
        <f>ABS(TAN(RADIANS(ABS(OBSERVATIONS!$AO$12)))/TAN(RADIANS(ABS(Z13))))</f>
        <v>3.4117246372762783E-2</v>
      </c>
      <c r="AD13" s="4">
        <f>IF(AB13=0,IF(OBSERVATIONS!$AY$35="N",-AC13,AC13),IF(OBSERVATIONS!$AY$35="N",AC13,-AC13))</f>
        <v>3.4117246372762783E-2</v>
      </c>
      <c r="AE13" s="4">
        <f t="shared" si="8"/>
        <v>0.29827745491028934</v>
      </c>
      <c r="AF13" s="4">
        <f t="shared" si="9"/>
        <v>0.33239470128305215</v>
      </c>
      <c r="AG13" s="4">
        <f>ABS(DEGREES(ATAN(1/(COS(RADIANS(ABS(OBSERVATIONS!$AO$12)))*AF13))))</f>
        <v>72.728152146005186</v>
      </c>
      <c r="AH13" s="4">
        <f t="shared" si="10"/>
        <v>287.27184785399481</v>
      </c>
      <c r="AI13" s="4">
        <f>AA13-OBSERVATIONS!$AO$12</f>
        <v>-4.1599114704431948</v>
      </c>
      <c r="AJ13" s="12">
        <f>DEGREES(ASIN(SIN(RADIANS(OBSERVATIONS!$AO$12))*SIN(RADIANS(AA13))+COS(RADIANS(OBSERVATIONS!$AO$12))*COS(RADIANS(AA13))*COS(RADIANS(Y13))))</f>
        <v>1.1500583936706792</v>
      </c>
      <c r="AK13" s="12">
        <f t="shared" si="11"/>
        <v>1.1500583936706792</v>
      </c>
      <c r="AL13" s="8" t="s">
        <v>22</v>
      </c>
      <c r="AM13" s="12">
        <f t="shared" si="12"/>
        <v>287.27184785399481</v>
      </c>
      <c r="AN13" s="12">
        <f t="shared" si="13"/>
        <v>1.1500583936706792</v>
      </c>
      <c r="AO13" s="12"/>
      <c r="AP13" s="12"/>
      <c r="AQ13" s="12"/>
      <c r="AR13" s="12"/>
      <c r="AS13" s="4"/>
      <c r="AT13" s="12"/>
      <c r="AU13" s="13"/>
      <c r="AV13" s="12"/>
      <c r="AW13" s="4"/>
      <c r="AX13" s="12"/>
      <c r="AY13" s="4"/>
      <c r="AZ13" s="4"/>
      <c r="BA13" s="4"/>
      <c r="BB13" s="4"/>
      <c r="BC13" s="4"/>
      <c r="BD13" s="10"/>
      <c r="BF13" s="10"/>
      <c r="BH13" s="10"/>
      <c r="BI13" s="10"/>
      <c r="BJ13" s="10"/>
      <c r="BK13" s="10"/>
      <c r="BL13" s="10"/>
      <c r="BN13" s="10"/>
      <c r="BO13" s="10"/>
      <c r="BP13" s="10"/>
      <c r="BQ13" s="10"/>
      <c r="BX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L13" s="10"/>
      <c r="CM13" s="10"/>
      <c r="CN13" s="10"/>
      <c r="CO13" s="10"/>
      <c r="CP13" s="10"/>
      <c r="CR13" s="10"/>
      <c r="CS13" s="10"/>
      <c r="CT13" s="10"/>
      <c r="CU13" s="10"/>
      <c r="CV13" s="10"/>
      <c r="CW13" s="4"/>
      <c r="CX13" s="4"/>
      <c r="CY13" s="12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</row>
    <row r="14" spans="2:245" s="1" customFormat="1" ht="15" customHeight="1">
      <c r="B14" s="8" t="s">
        <v>28</v>
      </c>
      <c r="C14" s="1">
        <f>(15+34/60+39/3600)</f>
        <v>15.577500000000001</v>
      </c>
      <c r="D14" s="1">
        <f>26+42.9/60</f>
        <v>26.715</v>
      </c>
      <c r="E14" s="9">
        <f>MOD(360-(C14+((3.075+1.336*SIN(RADIANS(C14))*TAN(RADIANS(D14)))*(OBSERVATIONS!$U$35-36526)/365)/3600)*15,360)</f>
        <v>126.08835295850892</v>
      </c>
      <c r="F14" s="9">
        <f>D14+(20.04*COS(RADIANS(C14*15))*(OBSERVATIONS!$U$35-36526)/365)/3600</f>
        <v>26.654416491600514</v>
      </c>
      <c r="G14" s="9">
        <f>-17.3*SIN(RADIANS(125-0.05295*(OBSERVATIONS!$U$35-2451545)))-1.4*SIN(RADIANS(200+1.97129*(OBSERVATIONS!$U$35-2451545)))</f>
        <v>6.6308035321601082</v>
      </c>
      <c r="H14" s="9">
        <f>9.4*COS(RADIANS(125-0.05295*(OBSERVATIONS!$U$35-2451545)))+0.7*COS(RADIANS(200+1.97129*(OBSERVATIONS!$U$35-2451545)))</f>
        <v>-7.9109288482141293</v>
      </c>
      <c r="I14" s="10">
        <f t="shared" si="0"/>
        <v>126.08860185089178</v>
      </c>
      <c r="J14" s="10">
        <f t="shared" si="1"/>
        <v>26.653392220122139</v>
      </c>
      <c r="L14" s="11"/>
      <c r="N14" s="4"/>
      <c r="O14" s="15" t="s">
        <v>23</v>
      </c>
      <c r="P14" s="4">
        <v>0</v>
      </c>
      <c r="Q14" s="4"/>
      <c r="R14" s="4"/>
      <c r="S14" s="4"/>
      <c r="T14" s="4"/>
      <c r="U14" s="4"/>
      <c r="V14" s="4"/>
      <c r="W14" s="4"/>
      <c r="X14" s="4"/>
      <c r="Y14" s="4">
        <f>MOD(V$4+OBSERVATIONS!$AO$13+I9,360)</f>
        <v>330.60543921963665</v>
      </c>
      <c r="Z14" s="4">
        <f t="shared" si="6"/>
        <v>29.394560780363349</v>
      </c>
      <c r="AA14" s="4">
        <f t="shared" si="14"/>
        <v>55.856044967125179</v>
      </c>
      <c r="AB14" s="4">
        <f t="shared" si="7"/>
        <v>0</v>
      </c>
      <c r="AC14" s="4">
        <f>ABS(TAN(RADIANS(ABS(OBSERVATIONS!$AO$12)))/TAN(RADIANS(ABS(Z14))))</f>
        <v>0.67093448534589306</v>
      </c>
      <c r="AD14" s="4">
        <f>IF(AB14=0,IF(OBSERVATIONS!$AY$35="N",-AC14,AC14),IF(OBSERVATIONS!$AY$35="N",AC14,-AC14))</f>
        <v>-0.67093448534589306</v>
      </c>
      <c r="AE14" s="4">
        <f t="shared" si="8"/>
        <v>3.004263726346649</v>
      </c>
      <c r="AF14" s="4">
        <f t="shared" si="9"/>
        <v>2.3333292410007558</v>
      </c>
      <c r="AG14" s="4">
        <f>ABS(DEGREES(ATAN(1/(COS(RADIANS(ABS(OBSERVATIONS!$AO$12)))*AF14))))</f>
        <v>24.615522973171355</v>
      </c>
      <c r="AH14" s="4">
        <f t="shared" si="10"/>
        <v>24.615522973171355</v>
      </c>
      <c r="AI14" s="4">
        <f>AA14-OBSERVATIONS!$AO$12</f>
        <v>35.151044967125181</v>
      </c>
      <c r="AJ14" s="12">
        <f>DEGREES(ASIN(SIN(RADIANS(OBSERVATIONS!$AO$12))*SIN(RADIANS(AA14))+COS(RADIANS(OBSERVATIONS!$AO$12))*COS(RADIANS(AA14))*COS(RADIANS(Y14))))</f>
        <v>48.594349755483456</v>
      </c>
      <c r="AK14" s="12">
        <f t="shared" si="11"/>
        <v>48.594349755483456</v>
      </c>
      <c r="AL14" s="8" t="s">
        <v>23</v>
      </c>
      <c r="AM14" s="12">
        <f t="shared" si="12"/>
        <v>24.615522973171355</v>
      </c>
      <c r="AN14" s="12">
        <f t="shared" si="13"/>
        <v>48.594349755483456</v>
      </c>
      <c r="AO14" s="12"/>
      <c r="AP14" s="12"/>
      <c r="AQ14" s="12"/>
      <c r="AR14" s="12"/>
      <c r="AS14" s="4"/>
      <c r="AT14" s="12"/>
      <c r="AU14" s="13"/>
      <c r="AV14" s="12"/>
      <c r="AW14" s="4"/>
      <c r="AX14" s="12"/>
      <c r="AY14" s="4"/>
      <c r="AZ14" s="4"/>
      <c r="BA14" s="4"/>
      <c r="BB14" s="4"/>
      <c r="BC14" s="4"/>
      <c r="BD14" s="10"/>
      <c r="BF14" s="10"/>
      <c r="BH14" s="10"/>
      <c r="BI14" s="10"/>
      <c r="BJ14" s="10"/>
      <c r="BK14" s="10"/>
      <c r="BL14" s="10"/>
      <c r="BN14" s="10"/>
      <c r="BO14" s="10"/>
      <c r="BP14" s="10"/>
      <c r="BQ14" s="10"/>
      <c r="BX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L14" s="10"/>
      <c r="CM14" s="10"/>
      <c r="CN14" s="10"/>
      <c r="CO14" s="10"/>
      <c r="CP14" s="10"/>
      <c r="CR14" s="10"/>
      <c r="CS14" s="10"/>
      <c r="CT14" s="10"/>
      <c r="CU14" s="10"/>
      <c r="CV14" s="10"/>
      <c r="CW14" s="4"/>
      <c r="CX14" s="4"/>
      <c r="CY14" s="12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</row>
    <row r="15" spans="2:245" s="1" customFormat="1" ht="15" customHeight="1">
      <c r="B15" s="8" t="s">
        <v>29</v>
      </c>
      <c r="C15" s="1">
        <f>(0+8/60+22/3600)</f>
        <v>0.13944444444444445</v>
      </c>
      <c r="D15" s="1">
        <f>29+5.5/60</f>
        <v>29.091666666666665</v>
      </c>
      <c r="E15" s="9">
        <f>MOD(360-(C15+((3.075+1.336*SIN(RADIANS(C15))*TAN(RADIANS(D15)))*(OBSERVATIONS!$U$35-36526)/365)/3600)*15,360)</f>
        <v>357.67286611285425</v>
      </c>
      <c r="F15" s="9">
        <f>D15+(20.04*COS(RADIANS(C15*15))*(OBSERVATIONS!$U$35-36526)/365)/3600</f>
        <v>29.193842195999508</v>
      </c>
      <c r="G15" s="9">
        <f>-17.3*SIN(RADIANS(125-0.05295*(OBSERVATIONS!$U$35-2451545)))-1.4*SIN(RADIANS(200+1.97129*(OBSERVATIONS!$U$35-2451545)))</f>
        <v>6.6308035321601082</v>
      </c>
      <c r="H15" s="9">
        <f>9.4*COS(RADIANS(125-0.05295*(OBSERVATIONS!$U$35-2451545)))+0.7*COS(RADIANS(200+1.97129*(OBSERVATIONS!$U$35-2451545)))</f>
        <v>-7.9109288482141293</v>
      </c>
      <c r="I15" s="10">
        <f t="shared" si="0"/>
        <v>357.67435772439131</v>
      </c>
      <c r="J15" s="10">
        <f t="shared" si="1"/>
        <v>29.194569063454168</v>
      </c>
      <c r="L15" s="11"/>
      <c r="N15" s="4"/>
      <c r="O15" s="15" t="s">
        <v>24</v>
      </c>
      <c r="P15" s="4">
        <v>0</v>
      </c>
      <c r="Q15" s="4"/>
      <c r="R15" s="4"/>
      <c r="S15" s="4"/>
      <c r="T15" s="4"/>
      <c r="U15" s="4"/>
      <c r="V15" s="4"/>
      <c r="W15" s="4"/>
      <c r="X15" s="4"/>
      <c r="Y15" s="4">
        <f>MOD(V$4+OBSERVATIONS!$AO$13+I10,360)</f>
        <v>317.23265587582671</v>
      </c>
      <c r="Z15" s="4">
        <f t="shared" si="6"/>
        <v>42.767344124173292</v>
      </c>
      <c r="AA15" s="4">
        <f t="shared" si="14"/>
        <v>49.219291799027793</v>
      </c>
      <c r="AB15" s="4">
        <f t="shared" si="7"/>
        <v>0</v>
      </c>
      <c r="AC15" s="4">
        <f>ABS(TAN(RADIANS(ABS(OBSERVATIONS!$AO$12)))/TAN(RADIANS(ABS(Z15))))</f>
        <v>0.40863550814183747</v>
      </c>
      <c r="AD15" s="4">
        <f>IF(AB15=0,IF(OBSERVATIONS!$AY$35="N",-AC15,AC15),IF(OBSERVATIONS!$AY$35="N",AC15,-AC15))</f>
        <v>-0.40863550814183747</v>
      </c>
      <c r="AE15" s="4">
        <f t="shared" si="8"/>
        <v>1.7073060375107454</v>
      </c>
      <c r="AF15" s="4">
        <f t="shared" si="9"/>
        <v>1.2986705293689078</v>
      </c>
      <c r="AG15" s="4">
        <f>ABS(DEGREES(ATAN(1/(COS(RADIANS(ABS(OBSERVATIONS!$AO$12)))*AF15))))</f>
        <v>39.460704501768241</v>
      </c>
      <c r="AH15" s="4">
        <f t="shared" si="10"/>
        <v>39.460704501768241</v>
      </c>
      <c r="AI15" s="4">
        <f>AA15-OBSERVATIONS!$AO$12</f>
        <v>28.514291799027795</v>
      </c>
      <c r="AJ15" s="12">
        <f>DEGREES(ASIN(SIN(RADIANS(OBSERVATIONS!$AO$12))*SIN(RADIANS(AA15))+COS(RADIANS(OBSERVATIONS!$AO$12))*COS(RADIANS(AA15))*COS(RADIANS(Y15))))</f>
        <v>45.745646473056553</v>
      </c>
      <c r="AK15" s="12">
        <f t="shared" si="11"/>
        <v>45.745646473056553</v>
      </c>
      <c r="AL15" s="8" t="s">
        <v>24</v>
      </c>
      <c r="AM15" s="12">
        <f t="shared" si="12"/>
        <v>39.460704501768241</v>
      </c>
      <c r="AN15" s="12">
        <f t="shared" si="13"/>
        <v>45.745646473056553</v>
      </c>
      <c r="AO15" s="12"/>
      <c r="AP15" s="12"/>
      <c r="AQ15" s="12"/>
      <c r="AR15" s="12"/>
      <c r="AS15" s="4"/>
      <c r="AT15" s="12"/>
      <c r="AU15" s="13"/>
      <c r="AV15" s="12"/>
      <c r="AW15" s="4"/>
      <c r="AX15" s="12"/>
      <c r="AY15" s="4"/>
      <c r="AZ15" s="4"/>
      <c r="BA15" s="4"/>
      <c r="BB15" s="4"/>
      <c r="BC15" s="4"/>
      <c r="BD15" s="10"/>
      <c r="BF15" s="10"/>
      <c r="BH15" s="10"/>
      <c r="BI15" s="10"/>
      <c r="BJ15" s="10"/>
      <c r="BK15" s="10"/>
      <c r="BL15" s="10"/>
      <c r="BN15" s="10"/>
      <c r="BO15" s="10"/>
      <c r="BP15" s="10"/>
      <c r="BQ15" s="10"/>
      <c r="BX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L15" s="10"/>
      <c r="CM15" s="10"/>
      <c r="CN15" s="10"/>
      <c r="CO15" s="10"/>
      <c r="CP15" s="10"/>
      <c r="CR15" s="10"/>
      <c r="CS15" s="10"/>
      <c r="CT15" s="10"/>
      <c r="CU15" s="10"/>
      <c r="CV15" s="10"/>
      <c r="CW15" s="4"/>
      <c r="CX15" s="4"/>
      <c r="CY15" s="12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</row>
    <row r="16" spans="2:245" s="1" customFormat="1" ht="15" customHeight="1">
      <c r="B16" s="8" t="s">
        <v>30</v>
      </c>
      <c r="C16" s="1">
        <f>(19+50/60+45/3600)</f>
        <v>19.845833333333331</v>
      </c>
      <c r="D16" s="1">
        <f>8+52.1/60</f>
        <v>8.8683333333333341</v>
      </c>
      <c r="E16" s="9">
        <f>MOD(360-(C16+((3.075+1.336*SIN(RADIANS(C16))*TAN(RADIANS(D16)))*(OBSERVATIONS!$U$35-36526)/365)/3600)*15,360)</f>
        <v>62.071755328201618</v>
      </c>
      <c r="F16" s="9">
        <f>D16+(20.04*COS(RADIANS(C16*15))*(OBSERVATIONS!$U$35-36526)/365)/3600</f>
        <v>8.9158407313274477</v>
      </c>
      <c r="G16" s="9">
        <f>-17.3*SIN(RADIANS(125-0.05295*(OBSERVATIONS!$U$35-2451545)))-1.4*SIN(RADIANS(200+1.97129*(OBSERVATIONS!$U$35-2451545)))</f>
        <v>6.6308035321601082</v>
      </c>
      <c r="H16" s="9">
        <f>9.4*COS(RADIANS(125-0.05295*(OBSERVATIONS!$U$35-2451545)))+0.7*COS(RADIANS(200+1.97129*(OBSERVATIONS!$U$35-2451545)))</f>
        <v>-7.9109288482141293</v>
      </c>
      <c r="I16" s="10">
        <f t="shared" si="0"/>
        <v>62.07270053162145</v>
      </c>
      <c r="J16" s="10">
        <f t="shared" si="1"/>
        <v>8.9154351577356969</v>
      </c>
      <c r="L16" s="11"/>
      <c r="N16" s="4"/>
      <c r="O16" s="15" t="s">
        <v>25</v>
      </c>
      <c r="P16" s="4">
        <v>0</v>
      </c>
      <c r="Q16" s="4"/>
      <c r="R16" s="4"/>
      <c r="S16" s="4"/>
      <c r="T16" s="4"/>
      <c r="U16" s="4"/>
      <c r="V16" s="4"/>
      <c r="W16" s="4"/>
      <c r="X16" s="4"/>
      <c r="Y16" s="4">
        <f>MOD(V$4+OBSERVATIONS!$AO$13+I11,360)</f>
        <v>192.13649807964964</v>
      </c>
      <c r="Z16" s="4">
        <f t="shared" si="6"/>
        <v>167.86350192035036</v>
      </c>
      <c r="AA16" s="4">
        <f t="shared" si="14"/>
        <v>-46.874866668282635</v>
      </c>
      <c r="AB16" s="4">
        <f t="shared" si="7"/>
        <v>1</v>
      </c>
      <c r="AC16" s="4">
        <f>ABS(TAN(RADIANS(ABS(OBSERVATIONS!$AO$12)))/TAN(RADIANS(ABS(Z16))))</f>
        <v>1.7576010327833482</v>
      </c>
      <c r="AD16" s="4">
        <f>IF(AB16=0,IF(OBSERVATIONS!$AY$35="N",-AC16,AC16),IF(OBSERVATIONS!$AY$35="N",AC16,-AC16))</f>
        <v>1.7576010327833482</v>
      </c>
      <c r="AE16" s="4">
        <f t="shared" si="8"/>
        <v>-5.0783730373803788</v>
      </c>
      <c r="AF16" s="4">
        <f t="shared" si="9"/>
        <v>-3.3207720045970306</v>
      </c>
      <c r="AG16" s="4">
        <f>ABS(DEGREES(ATAN(1/(COS(RADIANS(ABS(OBSERVATIONS!$AO$12)))*AF16))))</f>
        <v>17.844770852923514</v>
      </c>
      <c r="AH16" s="4">
        <f t="shared" si="10"/>
        <v>162.15522914707648</v>
      </c>
      <c r="AI16" s="4">
        <f>AA16-OBSERVATIONS!$AO$12</f>
        <v>-67.579866668282634</v>
      </c>
      <c r="AJ16" s="12">
        <f>DEGREES(ASIN(SIN(RADIANS(OBSERVATIONS!$AO$12))*SIN(RADIANS(AA16))+COS(RADIANS(OBSERVATIONS!$AO$12))*COS(RADIANS(AA16))*COS(RADIANS(Y16))))</f>
        <v>-62.030647095356969</v>
      </c>
      <c r="AK16" s="12">
        <f t="shared" si="11"/>
        <v>-62.030647095356969</v>
      </c>
      <c r="AL16" s="8" t="s">
        <v>25</v>
      </c>
      <c r="AM16" s="12">
        <f t="shared" si="12"/>
        <v>162.15522914707648</v>
      </c>
      <c r="AN16" s="12">
        <f t="shared" si="13"/>
        <v>-62.030647095356969</v>
      </c>
      <c r="AO16" s="12"/>
      <c r="AP16" s="12"/>
      <c r="AQ16" s="12"/>
      <c r="AR16" s="12"/>
      <c r="AS16" s="4"/>
      <c r="AT16" s="12"/>
      <c r="AU16" s="13"/>
      <c r="AV16" s="12"/>
      <c r="AW16" s="4"/>
      <c r="AX16" s="12"/>
      <c r="AY16" s="4"/>
      <c r="AZ16" s="4"/>
      <c r="BA16" s="4"/>
      <c r="BB16" s="4"/>
      <c r="BC16" s="4"/>
      <c r="BD16" s="10"/>
      <c r="BF16" s="10"/>
      <c r="BH16" s="10"/>
      <c r="BI16" s="10"/>
      <c r="BJ16" s="10"/>
      <c r="BK16" s="10"/>
      <c r="BL16" s="10"/>
      <c r="BN16" s="10"/>
      <c r="BO16" s="10"/>
      <c r="BP16" s="10"/>
      <c r="BQ16" s="10"/>
      <c r="BX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L16" s="10"/>
      <c r="CM16" s="10"/>
      <c r="CN16" s="10"/>
      <c r="CO16" s="10"/>
      <c r="CP16" s="10"/>
      <c r="CR16" s="10"/>
      <c r="CS16" s="10"/>
      <c r="CT16" s="10"/>
      <c r="CU16" s="10"/>
      <c r="CV16" s="10"/>
      <c r="CW16" s="4"/>
      <c r="CX16" s="4"/>
      <c r="CY16" s="12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</row>
    <row r="17" spans="2:171" s="1" customFormat="1" ht="15" customHeight="1">
      <c r="B17" s="8" t="s">
        <v>31</v>
      </c>
      <c r="C17" s="1">
        <f>(0+26/60+16/3600)</f>
        <v>0.43777777777777777</v>
      </c>
      <c r="D17" s="1">
        <f>-42-18.7/60</f>
        <v>-42.311666666666667</v>
      </c>
      <c r="E17" s="9">
        <f>MOD(360-(C17+((3.075+1.336*SIN(RADIANS(C17))*TAN(RADIANS(D17)))*(OBSERVATIONS!$U$35-36526)/365)/3600)*15,360)</f>
        <v>353.19871569594528</v>
      </c>
      <c r="F17" s="9">
        <f>D17+(20.04*COS(RADIANS(C17*15))*(OBSERVATIONS!$U$35-36526)/365)/3600</f>
        <v>-42.210093786740991</v>
      </c>
      <c r="G17" s="9">
        <f>-17.3*SIN(RADIANS(125-0.05295*(OBSERVATIONS!$U$35-2451545)))-1.4*SIN(RADIANS(200+1.97129*(OBSERVATIONS!$U$35-2451545)))</f>
        <v>6.6308035321601082</v>
      </c>
      <c r="H17" s="9">
        <f>9.4*COS(RADIANS(125-0.05295*(OBSERVATIONS!$U$35-2451545)))+0.7*COS(RADIANS(200+1.97129*(OBSERVATIONS!$U$35-2451545)))</f>
        <v>-7.9109288482141293</v>
      </c>
      <c r="I17" s="10">
        <f t="shared" si="0"/>
        <v>353.19690700514269</v>
      </c>
      <c r="J17" s="10">
        <f t="shared" si="1"/>
        <v>-42.209382679923309</v>
      </c>
      <c r="L17" s="11"/>
      <c r="N17" s="4"/>
      <c r="O17" s="15" t="s">
        <v>26</v>
      </c>
      <c r="P17" s="4">
        <v>0</v>
      </c>
      <c r="Q17" s="4"/>
      <c r="R17" s="4"/>
      <c r="S17" s="4"/>
      <c r="T17" s="4"/>
      <c r="U17" s="4"/>
      <c r="V17" s="4"/>
      <c r="W17" s="4"/>
      <c r="X17" s="4"/>
      <c r="Y17" s="4">
        <f>MOD(V$4+OBSERVATIONS!$AO$13+I12,360)</f>
        <v>80.089104878989758</v>
      </c>
      <c r="Z17" s="4">
        <f t="shared" si="6"/>
        <v>80.089104878989758</v>
      </c>
      <c r="AA17" s="4">
        <f t="shared" si="14"/>
        <v>-1.1845474379697361</v>
      </c>
      <c r="AB17" s="4">
        <f t="shared" si="7"/>
        <v>0</v>
      </c>
      <c r="AC17" s="4">
        <f>ABS(TAN(RADIANS(ABS(OBSERVATIONS!$AO$12)))/TAN(RADIANS(ABS(Z17))))</f>
        <v>6.6040082748879986E-2</v>
      </c>
      <c r="AD17" s="4">
        <f>IF(AB17=0,IF(OBSERVATIONS!$AY$35="N",-AC17,AC17),IF(OBSERVATIONS!$AY$35="N",AC17,-AC17))</f>
        <v>-6.6040082748879986E-2</v>
      </c>
      <c r="AE17" s="4">
        <f t="shared" si="8"/>
        <v>-2.0990447533704461E-2</v>
      </c>
      <c r="AF17" s="4">
        <f t="shared" si="9"/>
        <v>-8.7030530282584451E-2</v>
      </c>
      <c r="AG17" s="4">
        <f>ABS(DEGREES(ATAN(1/(COS(RADIANS(ABS(OBSERVATIONS!$AO$12)))*AF17))))</f>
        <v>85.34584265467204</v>
      </c>
      <c r="AH17" s="4">
        <f t="shared" si="10"/>
        <v>265.34584265467203</v>
      </c>
      <c r="AI17" s="4">
        <f>AA17-OBSERVATIONS!$AO$12</f>
        <v>-21.889547437969735</v>
      </c>
      <c r="AJ17" s="12">
        <f>DEGREES(ASIN(SIN(RADIANS(OBSERVATIONS!$AO$12))*SIN(RADIANS(AA17))+COS(RADIANS(OBSERVATIONS!$AO$12))*COS(RADIANS(AA17))*COS(RADIANS(Y17))))</f>
        <v>8.8388898814551844</v>
      </c>
      <c r="AK17" s="12">
        <f t="shared" si="11"/>
        <v>8.8388898814551844</v>
      </c>
      <c r="AL17" s="8" t="s">
        <v>26</v>
      </c>
      <c r="AM17" s="12">
        <f t="shared" si="12"/>
        <v>265.34584265467203</v>
      </c>
      <c r="AN17" s="12">
        <f t="shared" si="13"/>
        <v>8.8388898814551844</v>
      </c>
      <c r="AO17" s="12"/>
      <c r="AP17" s="12"/>
      <c r="AQ17" s="12"/>
      <c r="AR17" s="12"/>
      <c r="AS17" s="4"/>
      <c r="AT17" s="12"/>
      <c r="AU17" s="13"/>
      <c r="AV17" s="12"/>
      <c r="AW17" s="4"/>
      <c r="AX17" s="12"/>
      <c r="AY17" s="4"/>
      <c r="AZ17" s="4"/>
      <c r="BA17" s="4"/>
      <c r="BB17" s="4"/>
      <c r="BC17" s="4"/>
      <c r="BD17" s="10"/>
      <c r="BF17" s="10"/>
      <c r="BH17" s="10"/>
      <c r="BI17" s="10"/>
      <c r="BJ17" s="10"/>
      <c r="BK17" s="10"/>
      <c r="BL17" s="10"/>
      <c r="BN17" s="10"/>
      <c r="BO17" s="10"/>
      <c r="BP17" s="10"/>
      <c r="BQ17" s="10"/>
      <c r="BX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L17" s="10"/>
      <c r="CM17" s="10"/>
      <c r="CN17" s="10"/>
      <c r="CO17" s="10"/>
      <c r="CP17" s="10"/>
      <c r="CR17" s="10"/>
      <c r="CS17" s="10"/>
      <c r="CT17" s="10"/>
      <c r="CU17" s="10"/>
      <c r="CV17" s="10"/>
      <c r="CW17" s="4"/>
      <c r="CX17" s="4"/>
      <c r="CY17" s="12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</row>
    <row r="18" spans="2:171" s="1" customFormat="1" ht="15" customHeight="1">
      <c r="B18" s="8" t="s">
        <v>32</v>
      </c>
      <c r="C18" s="1">
        <f>(16+29/60+22/3600)</f>
        <v>16.489444444444445</v>
      </c>
      <c r="D18" s="1">
        <f>-26-25.7/60</f>
        <v>-26.428333333333335</v>
      </c>
      <c r="E18" s="9">
        <f>MOD(360-(C18+((3.075+1.336*SIN(RADIANS(C18))*TAN(RADIANS(D18)))*(OBSERVATIONS!$U$35-36526)/365)/3600)*15,360)</f>
        <v>112.4374284611732</v>
      </c>
      <c r="F18" s="9">
        <f>D18+(20.04*COS(RADIANS(C18*15))*(OBSERVATIONS!$U$35-36526)/365)/3600</f>
        <v>-26.46772117227146</v>
      </c>
      <c r="G18" s="9">
        <f>-17.3*SIN(RADIANS(125-0.05295*(OBSERVATIONS!$U$35-2451545)))-1.4*SIN(RADIANS(200+1.97129*(OBSERVATIONS!$U$35-2451545)))</f>
        <v>6.6308035321601082</v>
      </c>
      <c r="H18" s="9">
        <f>9.4*COS(RADIANS(125-0.05295*(OBSERVATIONS!$U$35-2451545)))+0.7*COS(RADIANS(200+1.97129*(OBSERVATIONS!$U$35-2451545)))</f>
        <v>-7.9109288482141293</v>
      </c>
      <c r="I18" s="10">
        <f t="shared" si="0"/>
        <v>112.43748911682576</v>
      </c>
      <c r="J18" s="10">
        <f t="shared" si="1"/>
        <v>-26.46862716538141</v>
      </c>
      <c r="L18" s="11"/>
      <c r="N18" s="4"/>
      <c r="O18" s="15" t="s">
        <v>27</v>
      </c>
      <c r="P18" s="4">
        <v>0</v>
      </c>
      <c r="Q18" s="4"/>
      <c r="R18" s="4"/>
      <c r="S18" s="4"/>
      <c r="T18" s="4"/>
      <c r="U18" s="4"/>
      <c r="V18" s="4"/>
      <c r="W18" s="4"/>
      <c r="X18" s="4"/>
      <c r="Y18" s="4">
        <f>MOD(V$4+OBSERVATIONS!$AO$13+I13,360)</f>
        <v>22.245642932277747</v>
      </c>
      <c r="Z18" s="4">
        <f t="shared" si="6"/>
        <v>22.245642932277747</v>
      </c>
      <c r="AA18" s="4">
        <f t="shared" si="14"/>
        <v>-8.7397302105730734</v>
      </c>
      <c r="AB18" s="4">
        <f t="shared" si="7"/>
        <v>0</v>
      </c>
      <c r="AC18" s="4">
        <f>ABS(TAN(RADIANS(ABS(OBSERVATIONS!$AO$12)))/TAN(RADIANS(ABS(Z18))))</f>
        <v>0.92407795424051575</v>
      </c>
      <c r="AD18" s="4">
        <f>IF(AB18=0,IF(OBSERVATIONS!$AY$35="N",-AC18,AC18),IF(OBSERVATIONS!$AY$35="N",AC18,-AC18))</f>
        <v>-0.92407795424051575</v>
      </c>
      <c r="AE18" s="4">
        <f t="shared" si="8"/>
        <v>-0.40607521707195054</v>
      </c>
      <c r="AF18" s="4">
        <f t="shared" si="9"/>
        <v>-1.3301531713124664</v>
      </c>
      <c r="AG18" s="4">
        <f>ABS(DEGREES(ATAN(1/(COS(RADIANS(ABS(OBSERVATIONS!$AO$12)))*AF18))))</f>
        <v>38.788897496539384</v>
      </c>
      <c r="AH18" s="4">
        <f t="shared" si="10"/>
        <v>218.78889749653939</v>
      </c>
      <c r="AI18" s="4">
        <f>AA18-OBSERVATIONS!$AO$12</f>
        <v>-29.44473021057307</v>
      </c>
      <c r="AJ18" s="12">
        <f>DEGREES(ASIN(SIN(RADIANS(OBSERVATIONS!$AO$12))*SIN(RADIANS(AA18))+COS(RADIANS(OBSERVATIONS!$AO$12))*COS(RADIANS(AA18))*COS(RADIANS(Y18))))</f>
        <v>53.322978258588009</v>
      </c>
      <c r="AK18" s="12">
        <f t="shared" si="11"/>
        <v>53.322978258588009</v>
      </c>
      <c r="AL18" s="8" t="s">
        <v>27</v>
      </c>
      <c r="AM18" s="12">
        <f t="shared" si="12"/>
        <v>218.78889749653939</v>
      </c>
      <c r="AN18" s="12">
        <f t="shared" si="13"/>
        <v>53.322978258588009</v>
      </c>
      <c r="AO18" s="12"/>
      <c r="AP18" s="12"/>
      <c r="AQ18" s="12"/>
      <c r="AR18" s="12"/>
      <c r="AS18" s="4"/>
      <c r="AT18" s="12"/>
      <c r="AU18" s="13"/>
      <c r="AV18" s="12"/>
      <c r="AW18" s="4"/>
      <c r="AX18" s="12"/>
      <c r="AY18" s="4"/>
      <c r="AZ18" s="4"/>
      <c r="BA18" s="4"/>
      <c r="BB18" s="4"/>
      <c r="BC18" s="4"/>
      <c r="BD18" s="10"/>
      <c r="BF18" s="10"/>
      <c r="BH18" s="10"/>
      <c r="BI18" s="10"/>
      <c r="BJ18" s="10"/>
      <c r="BK18" s="10"/>
      <c r="BL18" s="10"/>
      <c r="BN18" s="10"/>
      <c r="BO18" s="10"/>
      <c r="BP18" s="10"/>
      <c r="BQ18" s="10"/>
      <c r="BX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L18" s="10"/>
      <c r="CM18" s="10"/>
      <c r="CN18" s="10"/>
      <c r="CO18" s="10"/>
      <c r="CP18" s="10"/>
      <c r="CR18" s="10"/>
      <c r="CS18" s="10"/>
      <c r="CT18" s="10"/>
      <c r="CU18" s="10"/>
      <c r="CV18" s="10"/>
      <c r="CW18" s="4"/>
      <c r="CX18" s="4"/>
      <c r="CY18" s="12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</row>
    <row r="19" spans="2:171" s="1" customFormat="1" ht="15" customHeight="1">
      <c r="B19" s="8" t="s">
        <v>33</v>
      </c>
      <c r="C19" s="1">
        <f>(14+15/60+39/3600)</f>
        <v>14.260833333333334</v>
      </c>
      <c r="D19" s="1">
        <f>19+11.2/60</f>
        <v>19.186666666666667</v>
      </c>
      <c r="E19" s="9">
        <f>MOD(360-(C19+((3.075+1.336*SIN(RADIANS(C19))*TAN(RADIANS(D19)))*(OBSERVATIONS!$U$35-36526)/365)/3600)*15,360)</f>
        <v>145.84340698971496</v>
      </c>
      <c r="F19" s="9">
        <f>D19+(20.04*COS(RADIANS(C19*15))*(OBSERVATIONS!$U$35-36526)/365)/3600</f>
        <v>19.101815621770523</v>
      </c>
      <c r="G19" s="9">
        <f>-17.3*SIN(RADIANS(125-0.05295*(OBSERVATIONS!$U$35-2451545)))-1.4*SIN(RADIANS(200+1.97129*(OBSERVATIONS!$U$35-2451545)))</f>
        <v>6.6308035321601082</v>
      </c>
      <c r="H19" s="9">
        <f>9.4*COS(RADIANS(125-0.05295*(OBSERVATIONS!$U$35-2451545)))+0.7*COS(RADIANS(200+1.97129*(OBSERVATIONS!$U$35-2451545)))</f>
        <v>-7.9109288482141293</v>
      </c>
      <c r="I19" s="10">
        <f t="shared" si="0"/>
        <v>145.84373309610226</v>
      </c>
      <c r="J19" s="10">
        <f t="shared" si="1"/>
        <v>19.10066623809788</v>
      </c>
      <c r="L19" s="11"/>
      <c r="N19" s="4"/>
      <c r="O19" s="15" t="s">
        <v>28</v>
      </c>
      <c r="P19" s="4">
        <v>0</v>
      </c>
      <c r="Q19" s="4"/>
      <c r="R19" s="4"/>
      <c r="S19" s="4"/>
      <c r="T19" s="4"/>
      <c r="U19" s="4"/>
      <c r="V19" s="4"/>
      <c r="W19" s="4"/>
      <c r="X19" s="4"/>
      <c r="Y19" s="4">
        <f>MOD(V$4+OBSERVATIONS!$AO$13+I14,360)</f>
        <v>290.4667662134263</v>
      </c>
      <c r="Z19" s="4">
        <f t="shared" si="6"/>
        <v>69.533233786573703</v>
      </c>
      <c r="AA19" s="4">
        <f t="shared" si="14"/>
        <v>26.653392220122139</v>
      </c>
      <c r="AB19" s="4">
        <f t="shared" si="7"/>
        <v>0</v>
      </c>
      <c r="AC19" s="4">
        <f>ABS(TAN(RADIANS(ABS(OBSERVATIONS!$AO$12)))/TAN(RADIANS(ABS(Z19))))</f>
        <v>0.1410667057941728</v>
      </c>
      <c r="AD19" s="4">
        <f>IF(AB19=0,IF(OBSERVATIONS!$AY$35="N",-AC19,AC19),IF(OBSERVATIONS!$AY$35="N",AC19,-AC19))</f>
        <v>-0.1410667057941728</v>
      </c>
      <c r="AE19" s="4">
        <f t="shared" si="8"/>
        <v>0.53574778100922726</v>
      </c>
      <c r="AF19" s="4">
        <f t="shared" si="9"/>
        <v>0.39468107521505447</v>
      </c>
      <c r="AG19" s="4">
        <f>ABS(DEGREES(ATAN(1/(COS(RADIANS(ABS(OBSERVATIONS!$AO$12)))*AF19))))</f>
        <v>69.736364263921161</v>
      </c>
      <c r="AH19" s="4">
        <f t="shared" si="10"/>
        <v>69.736364263921161</v>
      </c>
      <c r="AI19" s="4">
        <f>AA19-OBSERVATIONS!$AO$12</f>
        <v>5.9483922201221411</v>
      </c>
      <c r="AJ19" s="12">
        <f>DEGREES(ASIN(SIN(RADIANS(OBSERVATIONS!$AO$12))*SIN(RADIANS(AA19))+COS(RADIANS(OBSERVATIONS!$AO$12))*COS(RADIANS(AA19))*COS(RADIANS(Y19))))</f>
        <v>26.803130707679234</v>
      </c>
      <c r="AK19" s="12">
        <f t="shared" si="11"/>
        <v>26.803130707679234</v>
      </c>
      <c r="AL19" s="8" t="s">
        <v>28</v>
      </c>
      <c r="AM19" s="12">
        <f t="shared" si="12"/>
        <v>69.736364263921161</v>
      </c>
      <c r="AN19" s="12">
        <f t="shared" si="13"/>
        <v>26.803130707679234</v>
      </c>
      <c r="AO19" s="12"/>
      <c r="AP19" s="12"/>
      <c r="AQ19" s="12"/>
      <c r="AR19" s="12"/>
      <c r="AS19" s="4"/>
      <c r="AT19" s="12"/>
      <c r="AU19" s="13"/>
      <c r="AV19" s="12"/>
      <c r="AW19" s="4"/>
      <c r="AX19" s="12"/>
      <c r="AY19" s="4"/>
      <c r="AZ19" s="4"/>
      <c r="BA19" s="4"/>
      <c r="BB19" s="4"/>
      <c r="BC19" s="4"/>
      <c r="BD19" s="10"/>
      <c r="BF19" s="10"/>
      <c r="BH19" s="10"/>
      <c r="BI19" s="10"/>
      <c r="BJ19" s="10"/>
      <c r="BK19" s="10"/>
      <c r="BL19" s="10"/>
      <c r="BN19" s="10"/>
      <c r="BO19" s="10"/>
      <c r="BP19" s="10"/>
      <c r="BQ19" s="10"/>
      <c r="BX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L19" s="10"/>
      <c r="CM19" s="10"/>
      <c r="CN19" s="10"/>
      <c r="CO19" s="10"/>
      <c r="CP19" s="10"/>
      <c r="CR19" s="10"/>
      <c r="CS19" s="10"/>
      <c r="CT19" s="10"/>
      <c r="CU19" s="10"/>
      <c r="CV19" s="10"/>
      <c r="CW19" s="4"/>
      <c r="CX19" s="4"/>
      <c r="CY19" s="12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</row>
    <row r="20" spans="2:171" s="1" customFormat="1" ht="15" customHeight="1">
      <c r="B20" s="8" t="s">
        <v>34</v>
      </c>
      <c r="C20" s="1">
        <f>(16+48/60+35/3600)</f>
        <v>16.809722222222224</v>
      </c>
      <c r="D20" s="1">
        <f>-69-1.4/60</f>
        <v>-69.023333333333326</v>
      </c>
      <c r="E20" s="9">
        <f>MOD(360-(C20+((3.075+1.336*SIN(RADIANS(C20))*TAN(RADIANS(D20)))*(OBSERVATIONS!$U$35-36526)/365)/3600)*15,360)</f>
        <v>107.69595975000101</v>
      </c>
      <c r="F20" s="9">
        <f>D20+(20.04*COS(RADIANS(C20*15))*(OBSERVATIONS!$U$35-36526)/365)/3600</f>
        <v>-69.054680756651592</v>
      </c>
      <c r="G20" s="9">
        <f>-17.3*SIN(RADIANS(125-0.05295*(OBSERVATIONS!$U$35-2451545)))-1.4*SIN(RADIANS(200+1.97129*(OBSERVATIONS!$U$35-2451545)))</f>
        <v>6.6308035321601082</v>
      </c>
      <c r="H20" s="9">
        <f>9.4*COS(RADIANS(125-0.05295*(OBSERVATIONS!$U$35-2451545)))+0.7*COS(RADIANS(200+1.97129*(OBSERVATIONS!$U$35-2451545)))</f>
        <v>-7.9109288482141293</v>
      </c>
      <c r="I20" s="10">
        <f t="shared" si="0"/>
        <v>107.69862084749833</v>
      </c>
      <c r="J20" s="10">
        <f t="shared" si="1"/>
        <v>-69.055540898805418</v>
      </c>
      <c r="L20" s="11"/>
      <c r="N20" s="4"/>
      <c r="O20" s="15" t="s">
        <v>29</v>
      </c>
      <c r="P20" s="4">
        <v>0</v>
      </c>
      <c r="Q20" s="4"/>
      <c r="R20" s="4"/>
      <c r="S20" s="4"/>
      <c r="T20" s="4"/>
      <c r="U20" s="4"/>
      <c r="V20" s="4"/>
      <c r="W20" s="4"/>
      <c r="X20" s="4"/>
      <c r="Y20" s="4">
        <f>MOD(V$4+OBSERVATIONS!$AO$13+I15,360)</f>
        <v>162.05252208692582</v>
      </c>
      <c r="Z20" s="4">
        <f t="shared" si="6"/>
        <v>162.05252208692582</v>
      </c>
      <c r="AA20" s="4">
        <f t="shared" si="14"/>
        <v>29.194569063454168</v>
      </c>
      <c r="AB20" s="4">
        <f t="shared" si="7"/>
        <v>1</v>
      </c>
      <c r="AC20" s="4">
        <f>ABS(TAN(RADIANS(ABS(OBSERVATIONS!$AO$12)))/TAN(RADIANS(ABS(Z20))))</f>
        <v>1.166905258266046</v>
      </c>
      <c r="AD20" s="4">
        <f>IF(AB20=0,IF(OBSERVATIONS!$AY$35="N",-AC20,AC20),IF(OBSERVATIONS!$AY$35="N",AC20,-AC20))</f>
        <v>1.166905258266046</v>
      </c>
      <c r="AE20" s="4">
        <f t="shared" si="8"/>
        <v>1.8132912638198078</v>
      </c>
      <c r="AF20" s="4">
        <f t="shared" si="9"/>
        <v>2.9801965220858539</v>
      </c>
      <c r="AG20" s="4">
        <f>ABS(DEGREES(ATAN(1/(COS(RADIANS(ABS(OBSERVATIONS!$AO$12)))*AF20))))</f>
        <v>19.733758624732282</v>
      </c>
      <c r="AH20" s="4">
        <f t="shared" si="10"/>
        <v>340.26624137526773</v>
      </c>
      <c r="AI20" s="4">
        <f>AA20-OBSERVATIONS!$AO$12</f>
        <v>8.4895690634541694</v>
      </c>
      <c r="AJ20" s="12">
        <f>DEGREES(ASIN(SIN(RADIANS(OBSERVATIONS!$AO$12))*SIN(RADIANS(AA20))+COS(RADIANS(OBSERVATIONS!$AO$12))*COS(RADIANS(AA20))*COS(RADIANS(Y20))))</f>
        <v>-37.185233115521768</v>
      </c>
      <c r="AK20" s="12">
        <f t="shared" si="11"/>
        <v>-37.185233115521768</v>
      </c>
      <c r="AL20" s="8" t="s">
        <v>29</v>
      </c>
      <c r="AM20" s="12">
        <f t="shared" si="12"/>
        <v>340.26624137526773</v>
      </c>
      <c r="AN20" s="12">
        <f t="shared" si="13"/>
        <v>-37.185233115521768</v>
      </c>
      <c r="AO20" s="12"/>
      <c r="AP20" s="12"/>
      <c r="AQ20" s="12"/>
      <c r="AR20" s="12"/>
      <c r="AS20" s="4"/>
      <c r="AT20" s="12"/>
      <c r="AU20" s="13"/>
      <c r="AV20" s="12"/>
      <c r="AW20" s="4"/>
      <c r="AX20" s="12"/>
      <c r="AY20" s="4"/>
      <c r="AZ20" s="4"/>
      <c r="BA20" s="4"/>
      <c r="BB20" s="4"/>
      <c r="BC20" s="4"/>
      <c r="BD20" s="10"/>
      <c r="BF20" s="10"/>
      <c r="BH20" s="10"/>
      <c r="BI20" s="10"/>
      <c r="BJ20" s="10"/>
      <c r="BK20" s="10"/>
      <c r="BL20" s="10"/>
      <c r="BN20" s="10"/>
      <c r="BO20" s="10"/>
      <c r="BP20" s="10"/>
      <c r="BQ20" s="10"/>
      <c r="BX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L20" s="10"/>
      <c r="CM20" s="10"/>
      <c r="CN20" s="10"/>
      <c r="CO20" s="10"/>
      <c r="CP20" s="10"/>
      <c r="CR20" s="10"/>
      <c r="CS20" s="10"/>
      <c r="CT20" s="10"/>
      <c r="CU20" s="10"/>
      <c r="CV20" s="10"/>
      <c r="CW20" s="4"/>
      <c r="CX20" s="4"/>
      <c r="CY20" s="12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</row>
    <row r="21" spans="2:171" s="1" customFormat="1" ht="15" customHeight="1">
      <c r="B21" s="8" t="s">
        <v>35</v>
      </c>
      <c r="C21" s="1">
        <f>(8+22/60+33/3600)</f>
        <v>8.3758333333333344</v>
      </c>
      <c r="D21" s="1">
        <f>-59-30.5/60</f>
        <v>-59.508333333333333</v>
      </c>
      <c r="E21" s="9">
        <f>MOD(360-(C21+((3.075+1.336*SIN(RADIANS(C21))*TAN(RADIANS(D21)))*(OBSERVATIONS!$U$35-36526)/365)/3600)*15,360)</f>
        <v>234.1524636177075</v>
      </c>
      <c r="F21" s="9">
        <f>D21+(20.04*COS(RADIANS(C21*15))*(OBSERVATIONS!$U$35-36526)/365)/3600</f>
        <v>-59.567906110859397</v>
      </c>
      <c r="G21" s="9">
        <f>-17.3*SIN(RADIANS(125-0.05295*(OBSERVATIONS!$U$35-2451545)))-1.4*SIN(RADIANS(200+1.97129*(OBSERVATIONS!$U$35-2451545)))</f>
        <v>6.6308035321601082</v>
      </c>
      <c r="H21" s="9">
        <f>9.4*COS(RADIANS(125-0.05295*(OBSERVATIONS!$U$35-2451545)))+0.7*COS(RADIANS(200+1.97129*(OBSERVATIONS!$U$35-2451545)))</f>
        <v>-7.9109288482141293</v>
      </c>
      <c r="I21" s="10">
        <f t="shared" si="0"/>
        <v>234.15529576774458</v>
      </c>
      <c r="J21" s="10">
        <f t="shared" si="1"/>
        <v>-59.568653122012073</v>
      </c>
      <c r="L21" s="11"/>
      <c r="N21" s="4"/>
      <c r="O21" s="15" t="s">
        <v>30</v>
      </c>
      <c r="P21" s="4">
        <v>0</v>
      </c>
      <c r="Q21" s="4"/>
      <c r="R21" s="4"/>
      <c r="S21" s="4"/>
      <c r="T21" s="4"/>
      <c r="U21" s="4"/>
      <c r="V21" s="4"/>
      <c r="W21" s="4"/>
      <c r="X21" s="4"/>
      <c r="Y21" s="4">
        <f>MOD(V$4+OBSERVATIONS!$AO$13+I16,360)</f>
        <v>226.45086489415596</v>
      </c>
      <c r="Z21" s="4">
        <f t="shared" si="6"/>
        <v>133.54913510584404</v>
      </c>
      <c r="AA21" s="4">
        <f t="shared" si="14"/>
        <v>8.9154351577356969</v>
      </c>
      <c r="AB21" s="4">
        <f t="shared" si="7"/>
        <v>1</v>
      </c>
      <c r="AC21" s="4">
        <f>ABS(TAN(RADIANS(ABS(OBSERVATIONS!$AO$12)))/TAN(RADIANS(ABS(Z21))))</f>
        <v>0.35929499831518968</v>
      </c>
      <c r="AD21" s="4">
        <f>IF(AB21=0,IF(OBSERVATIONS!$AY$35="N",-AC21,AC21),IF(OBSERVATIONS!$AY$35="N",AC21,-AC21))</f>
        <v>0.35929499831518968</v>
      </c>
      <c r="AE21" s="4">
        <f t="shared" si="8"/>
        <v>0.21643948822422837</v>
      </c>
      <c r="AF21" s="4">
        <f t="shared" si="9"/>
        <v>0.57573448653941806</v>
      </c>
      <c r="AG21" s="4">
        <f>ABS(DEGREES(ATAN(1/(COS(RADIANS(ABS(OBSERVATIONS!$AO$12)))*AF21))))</f>
        <v>61.695331701879184</v>
      </c>
      <c r="AH21" s="4">
        <f t="shared" si="10"/>
        <v>61.695331701879184</v>
      </c>
      <c r="AI21" s="4">
        <f>AA21-OBSERVATIONS!$AO$12</f>
        <v>-11.789564842264301</v>
      </c>
      <c r="AJ21" s="12">
        <f>DEGREES(ASIN(SIN(RADIANS(OBSERVATIONS!$AO$12))*SIN(RADIANS(AA21))+COS(RADIANS(OBSERVATIONS!$AO$12))*COS(RADIANS(AA21))*COS(RADIANS(Y21))))</f>
        <v>-35.584159563066905</v>
      </c>
      <c r="AK21" s="12">
        <f t="shared" si="11"/>
        <v>-35.584159563066905</v>
      </c>
      <c r="AL21" s="8" t="s">
        <v>30</v>
      </c>
      <c r="AM21" s="12">
        <f t="shared" si="12"/>
        <v>61.695331701879184</v>
      </c>
      <c r="AN21" s="12">
        <f t="shared" si="13"/>
        <v>-35.584159563066905</v>
      </c>
      <c r="AO21" s="12"/>
      <c r="AP21" s="12"/>
      <c r="AQ21" s="12"/>
      <c r="AR21" s="12"/>
      <c r="AS21" s="4"/>
      <c r="AT21" s="12"/>
      <c r="AU21" s="13"/>
      <c r="AV21" s="12"/>
      <c r="AW21" s="4"/>
      <c r="AX21" s="12"/>
      <c r="AY21" s="4"/>
      <c r="AZ21" s="4"/>
      <c r="BA21" s="4"/>
      <c r="BB21" s="4"/>
      <c r="BC21" s="4"/>
      <c r="BD21" s="10"/>
      <c r="BF21" s="10"/>
      <c r="BH21" s="10"/>
      <c r="BI21" s="10"/>
      <c r="BJ21" s="10"/>
      <c r="BK21" s="10"/>
      <c r="BL21" s="10"/>
      <c r="BN21" s="10"/>
      <c r="BO21" s="10"/>
      <c r="BP21" s="10"/>
      <c r="BQ21" s="10"/>
      <c r="BX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L21" s="10"/>
      <c r="CM21" s="10"/>
      <c r="CN21" s="10"/>
      <c r="CO21" s="10"/>
      <c r="CP21" s="10"/>
      <c r="CR21" s="10"/>
      <c r="CS21" s="10"/>
      <c r="CT21" s="10"/>
      <c r="CU21" s="10"/>
      <c r="CV21" s="10"/>
      <c r="CW21" s="4"/>
      <c r="CX21" s="4"/>
      <c r="CY21" s="12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</row>
    <row r="22" spans="2:171" s="1" customFormat="1" ht="15" customHeight="1">
      <c r="B22" s="8" t="s">
        <v>36</v>
      </c>
      <c r="C22" s="1">
        <f>(5+25/60+8/3600)</f>
        <v>5.4188888888888895</v>
      </c>
      <c r="D22" s="1">
        <f>6+20.9/60</f>
        <v>6.3483333333333336</v>
      </c>
      <c r="E22" s="9">
        <f>MOD(360-(C22+((3.075+1.336*SIN(RADIANS(C22))*TAN(RADIANS(D22)))*(OBSERVATIONS!$U$35-36526)/365)/3600)*15,360)</f>
        <v>278.48026367337599</v>
      </c>
      <c r="F22" s="9">
        <f>D22+(20.04*COS(RADIANS(C22*15))*(OBSERVATIONS!$U$35-36526)/365)/3600</f>
        <v>6.3638281907559282</v>
      </c>
      <c r="G22" s="9">
        <f>-17.3*SIN(RADIANS(125-0.05295*(OBSERVATIONS!$U$35-2451545)))-1.4*SIN(RADIANS(200+1.97129*(OBSERVATIONS!$U$35-2451545)))</f>
        <v>6.6308035321601082</v>
      </c>
      <c r="H22" s="9">
        <f>9.4*COS(RADIANS(125-0.05295*(OBSERVATIONS!$U$35-2451545)))+0.7*COS(RADIANS(200+1.97129*(OBSERVATIONS!$U$35-2451545)))</f>
        <v>-7.9109288482141293</v>
      </c>
      <c r="I22" s="10">
        <f t="shared" si="0"/>
        <v>278.48067075053183</v>
      </c>
      <c r="J22" s="10">
        <f t="shared" si="1"/>
        <v>6.363731708427391</v>
      </c>
      <c r="L22" s="11"/>
      <c r="N22" s="4"/>
      <c r="O22" s="15" t="s">
        <v>31</v>
      </c>
      <c r="P22" s="4">
        <v>0</v>
      </c>
      <c r="Q22" s="4"/>
      <c r="R22" s="4"/>
      <c r="S22" s="4"/>
      <c r="T22" s="4"/>
      <c r="U22" s="4"/>
      <c r="V22" s="4"/>
      <c r="W22" s="4"/>
      <c r="X22" s="4"/>
      <c r="Y22" s="4">
        <f>MOD(V$4+OBSERVATIONS!$AO$13+I17,360)</f>
        <v>157.5750713676772</v>
      </c>
      <c r="Z22" s="4">
        <f t="shared" si="6"/>
        <v>157.5750713676772</v>
      </c>
      <c r="AA22" s="4">
        <f t="shared" si="14"/>
        <v>-42.209382679923309</v>
      </c>
      <c r="AB22" s="4">
        <f t="shared" si="7"/>
        <v>1</v>
      </c>
      <c r="AC22" s="4">
        <f>ABS(TAN(RADIANS(ABS(OBSERVATIONS!$AO$12)))/TAN(RADIANS(ABS(Z22))))</f>
        <v>0.9158884307430335</v>
      </c>
      <c r="AD22" s="4">
        <f>IF(AB22=0,IF(OBSERVATIONS!$AY$35="N",-AC22,AC22),IF(OBSERVATIONS!$AY$35="N",AC22,-AC22))</f>
        <v>0.9158884307430335</v>
      </c>
      <c r="AE22" s="4">
        <f t="shared" si="8"/>
        <v>-2.3777410947513964</v>
      </c>
      <c r="AF22" s="4">
        <f t="shared" si="9"/>
        <v>-1.4618526640083629</v>
      </c>
      <c r="AG22" s="4">
        <f>ABS(DEGREES(ATAN(1/(COS(RADIANS(ABS(OBSERVATIONS!$AO$12)))*AF22))))</f>
        <v>36.177837312363309</v>
      </c>
      <c r="AH22" s="4">
        <f t="shared" si="10"/>
        <v>216.17783731236329</v>
      </c>
      <c r="AI22" s="4">
        <f>AA22-OBSERVATIONS!$AO$12</f>
        <v>-62.914382679923307</v>
      </c>
      <c r="AJ22" s="12">
        <f>DEGREES(ASIN(SIN(RADIANS(OBSERVATIONS!$AO$12))*SIN(RADIANS(AA22))+COS(RADIANS(OBSERVATIONS!$AO$12))*COS(RADIANS(AA22))*COS(RADIANS(Y22))))</f>
        <v>-61.401547205581863</v>
      </c>
      <c r="AK22" s="12">
        <f t="shared" si="11"/>
        <v>-61.401547205581863</v>
      </c>
      <c r="AL22" s="8" t="s">
        <v>31</v>
      </c>
      <c r="AM22" s="12">
        <f t="shared" si="12"/>
        <v>216.17783731236329</v>
      </c>
      <c r="AN22" s="12">
        <f t="shared" si="13"/>
        <v>-61.401547205581863</v>
      </c>
      <c r="AO22" s="12"/>
      <c r="AP22" s="12"/>
      <c r="AQ22" s="12"/>
      <c r="AR22" s="12"/>
      <c r="AS22" s="4"/>
      <c r="AT22" s="12"/>
      <c r="AU22" s="13"/>
      <c r="AV22" s="12"/>
      <c r="AW22" s="4"/>
      <c r="AX22" s="12"/>
      <c r="AY22" s="4"/>
      <c r="AZ22" s="4"/>
      <c r="BA22" s="4"/>
      <c r="BB22" s="4"/>
      <c r="BC22" s="4"/>
      <c r="BD22" s="10"/>
      <c r="BF22" s="10"/>
      <c r="BH22" s="10"/>
      <c r="BI22" s="10"/>
      <c r="BJ22" s="10"/>
      <c r="BK22" s="10"/>
      <c r="BL22" s="10"/>
      <c r="BN22" s="10"/>
      <c r="BO22" s="10"/>
      <c r="BP22" s="10"/>
      <c r="BQ22" s="10"/>
      <c r="BX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L22" s="10"/>
      <c r="CM22" s="10"/>
      <c r="CN22" s="10"/>
      <c r="CO22" s="10"/>
      <c r="CP22" s="10"/>
      <c r="CR22" s="10"/>
      <c r="CS22" s="10"/>
      <c r="CT22" s="10"/>
      <c r="CU22" s="10"/>
      <c r="CV22" s="10"/>
      <c r="CW22" s="4"/>
      <c r="CX22" s="4"/>
      <c r="CY22" s="12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</row>
    <row r="23" spans="2:171" s="1" customFormat="1" ht="15" customHeight="1">
      <c r="B23" s="8" t="s">
        <v>37</v>
      </c>
      <c r="C23" s="1">
        <f>(5+55/60+11/3600)</f>
        <v>5.9197222222222221</v>
      </c>
      <c r="D23" s="1">
        <f>7+24.3/60</f>
        <v>7.4050000000000002</v>
      </c>
      <c r="E23" s="9">
        <f>MOD(360-(C23+((3.075+1.336*SIN(RADIANS(C23))*TAN(RADIANS(D23)))*(OBSERVATIONS!$U$35-36526)/365)/3600)*15,360)</f>
        <v>270.96746742151043</v>
      </c>
      <c r="F23" s="9">
        <f>D23+(20.04*COS(RADIANS(C23*15))*(OBSERVATIONS!$U$35-36526)/365)/3600</f>
        <v>7.4071486632427623</v>
      </c>
      <c r="G23" s="9">
        <f>-17.3*SIN(RADIANS(125-0.05295*(OBSERVATIONS!$U$35-2451545)))-1.4*SIN(RADIANS(200+1.97129*(OBSERVATIONS!$U$35-2451545)))</f>
        <v>6.6308035321601082</v>
      </c>
      <c r="H23" s="9">
        <f>9.4*COS(RADIANS(125-0.05295*(OBSERVATIONS!$U$35-2451545)))+0.7*COS(RADIANS(200+1.97129*(OBSERVATIONS!$U$35-2451545)))</f>
        <v>-7.9109288482141293</v>
      </c>
      <c r="I23" s="10">
        <f t="shared" si="0"/>
        <v>270.96787486893101</v>
      </c>
      <c r="J23" s="10">
        <f t="shared" si="1"/>
        <v>7.4069374241458519</v>
      </c>
      <c r="L23" s="11"/>
      <c r="N23" s="4"/>
      <c r="O23" s="15" t="s">
        <v>32</v>
      </c>
      <c r="P23" s="4">
        <v>0</v>
      </c>
      <c r="Q23" s="4"/>
      <c r="R23" s="4"/>
      <c r="S23" s="4"/>
      <c r="T23" s="4"/>
      <c r="U23" s="4"/>
      <c r="V23" s="4"/>
      <c r="W23" s="4"/>
      <c r="X23" s="4"/>
      <c r="Y23" s="4">
        <f>MOD(V$4+OBSERVATIONS!$AO$13+I18,360)</f>
        <v>276.81565347936026</v>
      </c>
      <c r="Z23" s="4">
        <f t="shared" si="6"/>
        <v>83.184346520639735</v>
      </c>
      <c r="AA23" s="4">
        <f t="shared" si="14"/>
        <v>-26.46862716538141</v>
      </c>
      <c r="AB23" s="4">
        <f t="shared" si="7"/>
        <v>0</v>
      </c>
      <c r="AC23" s="4">
        <f>ABS(TAN(RADIANS(ABS(OBSERVATIONS!$AO$12)))/TAN(RADIANS(ABS(Z23))))</f>
        <v>4.5174718576790604E-2</v>
      </c>
      <c r="AD23" s="4">
        <f>IF(AB23=0,IF(OBSERVATIONS!$AY$35="N",-AC23,AC23),IF(OBSERVATIONS!$AY$35="N",AC23,-AC23))</f>
        <v>-4.5174718576790604E-2</v>
      </c>
      <c r="AE23" s="4">
        <f t="shared" si="8"/>
        <v>-0.50144174845512191</v>
      </c>
      <c r="AF23" s="4">
        <f t="shared" si="9"/>
        <v>-0.54661646703191247</v>
      </c>
      <c r="AG23" s="4">
        <f>ABS(DEGREES(ATAN(1/(COS(RADIANS(ABS(OBSERVATIONS!$AO$12)))*AF23))))</f>
        <v>62.918783189998727</v>
      </c>
      <c r="AH23" s="4">
        <f t="shared" si="10"/>
        <v>117.08121681000128</v>
      </c>
      <c r="AI23" s="4">
        <f>AA23-OBSERVATIONS!$AO$12</f>
        <v>-47.173627165381404</v>
      </c>
      <c r="AJ23" s="12">
        <f>DEGREES(ASIN(SIN(RADIANS(OBSERVATIONS!$AO$12))*SIN(RADIANS(AA23))+COS(RADIANS(OBSERVATIONS!$AO$12))*COS(RADIANS(AA23))*COS(RADIANS(Y23))))</f>
        <v>-3.3370007857797535</v>
      </c>
      <c r="AK23" s="12">
        <f t="shared" si="11"/>
        <v>-3.3370007857797535</v>
      </c>
      <c r="AL23" s="8" t="s">
        <v>32</v>
      </c>
      <c r="AM23" s="12">
        <f t="shared" si="12"/>
        <v>117.08121681000128</v>
      </c>
      <c r="AN23" s="12">
        <f t="shared" si="13"/>
        <v>-3.3370007857797535</v>
      </c>
      <c r="AO23" s="12"/>
      <c r="AP23" s="12"/>
      <c r="AQ23" s="12"/>
      <c r="AR23" s="12"/>
      <c r="AS23" s="4"/>
      <c r="AT23" s="12"/>
      <c r="AU23" s="13"/>
      <c r="AV23" s="12"/>
      <c r="AW23" s="4"/>
      <c r="AX23" s="12"/>
      <c r="AY23" s="4"/>
      <c r="AZ23" s="4"/>
      <c r="BA23" s="4"/>
      <c r="BB23" s="4"/>
      <c r="BC23" s="4"/>
      <c r="BD23" s="10"/>
      <c r="BF23" s="10"/>
      <c r="BH23" s="10"/>
      <c r="BI23" s="10"/>
      <c r="BJ23" s="10"/>
      <c r="BK23" s="10"/>
      <c r="BL23" s="10"/>
      <c r="BN23" s="10"/>
      <c r="BO23" s="10"/>
      <c r="BP23" s="10"/>
      <c r="BQ23" s="10"/>
      <c r="BX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L23" s="10"/>
      <c r="CM23" s="10"/>
      <c r="CN23" s="10"/>
      <c r="CO23" s="10"/>
      <c r="CP23" s="10"/>
      <c r="CR23" s="10"/>
      <c r="CS23" s="10"/>
      <c r="CT23" s="10"/>
      <c r="CU23" s="10"/>
      <c r="CV23" s="10"/>
      <c r="CW23" s="4"/>
      <c r="CX23" s="4"/>
      <c r="CY23" s="12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</row>
    <row r="24" spans="2:171" s="1" customFormat="1" ht="15" customHeight="1">
      <c r="B24" s="8" t="s">
        <v>38</v>
      </c>
      <c r="C24" s="1">
        <f>(6+23/60+59/3600)</f>
        <v>6.3997222222222225</v>
      </c>
      <c r="D24" s="1">
        <f>-52-41.9/60</f>
        <v>-52.698333333333331</v>
      </c>
      <c r="E24" s="9">
        <f>MOD(360-(C24+((3.075+1.336*SIN(RADIANS(C24))*TAN(RADIANS(D24)))*(OBSERVATIONS!$U$35-36526)/365)/3600)*15,360)</f>
        <v>263.78379703913572</v>
      </c>
      <c r="F24" s="9">
        <f>D24+(20.04*COS(RADIANS(C24*15))*(OBSERVATIONS!$U$35-36526)/365)/3600</f>
        <v>-52.709013310592155</v>
      </c>
      <c r="G24" s="9">
        <f>-17.3*SIN(RADIANS(125-0.05295*(OBSERVATIONS!$U$35-2451545)))-1.4*SIN(RADIANS(200+1.97129*(OBSERVATIONS!$U$35-2451545)))</f>
        <v>6.6308035321601082</v>
      </c>
      <c r="H24" s="9">
        <f>9.4*COS(RADIANS(125-0.05295*(OBSERVATIONS!$U$35-2451545)))+0.7*COS(RADIANS(200+1.97129*(OBSERVATIONS!$U$35-2451545)))</f>
        <v>-7.9109288482141293</v>
      </c>
      <c r="I24" s="10">
        <f t="shared" si="0"/>
        <v>263.78376046409511</v>
      </c>
      <c r="J24" s="10">
        <f t="shared" si="1"/>
        <v>-52.709334786189473</v>
      </c>
      <c r="L24" s="11"/>
      <c r="N24" s="4"/>
      <c r="O24" s="15" t="s">
        <v>33</v>
      </c>
      <c r="P24" s="4">
        <v>0</v>
      </c>
      <c r="Q24" s="4"/>
      <c r="R24" s="4"/>
      <c r="S24" s="4"/>
      <c r="T24" s="4"/>
      <c r="U24" s="4"/>
      <c r="V24" s="4"/>
      <c r="W24" s="4"/>
      <c r="X24" s="4"/>
      <c r="Y24" s="4">
        <f>MOD(V$4+OBSERVATIONS!$AO$13+I19,360)</f>
        <v>310.22189745863676</v>
      </c>
      <c r="Z24" s="4">
        <f t="shared" si="6"/>
        <v>49.778102541363239</v>
      </c>
      <c r="AA24" s="4">
        <f t="shared" si="14"/>
        <v>19.10066623809788</v>
      </c>
      <c r="AB24" s="4">
        <f t="shared" si="7"/>
        <v>0</v>
      </c>
      <c r="AC24" s="4">
        <f>ABS(TAN(RADIANS(ABS(OBSERVATIONS!$AO$12)))/TAN(RADIANS(ABS(Z24))))</f>
        <v>0.31965562059729363</v>
      </c>
      <c r="AD24" s="4">
        <f>IF(AB24=0,IF(OBSERVATIONS!$AY$35="N",-AC24,AC24),IF(OBSERVATIONS!$AY$35="N",AC24,-AC24))</f>
        <v>-0.31965562059729363</v>
      </c>
      <c r="AE24" s="4">
        <f t="shared" si="8"/>
        <v>0.45353204340158099</v>
      </c>
      <c r="AF24" s="4">
        <f t="shared" si="9"/>
        <v>0.13387642280428735</v>
      </c>
      <c r="AG24" s="4">
        <f>ABS(DEGREES(ATAN(1/(COS(RADIANS(ABS(OBSERVATIONS!$AO$12)))*AF24))))</f>
        <v>82.862021675413303</v>
      </c>
      <c r="AH24" s="4">
        <f t="shared" si="10"/>
        <v>82.862021675413303</v>
      </c>
      <c r="AI24" s="4">
        <f>AA24-OBSERVATIONS!$AO$12</f>
        <v>-1.6043337619021187</v>
      </c>
      <c r="AJ24" s="12">
        <f>DEGREES(ASIN(SIN(RADIANS(OBSERVATIONS!$AO$12))*SIN(RADIANS(AA24))+COS(RADIANS(OBSERVATIONS!$AO$12))*COS(RADIANS(AA24))*COS(RADIANS(Y24))))</f>
        <v>43.352193348132658</v>
      </c>
      <c r="AK24" s="12">
        <f t="shared" si="11"/>
        <v>43.352193348132658</v>
      </c>
      <c r="AL24" s="8" t="s">
        <v>33</v>
      </c>
      <c r="AM24" s="12">
        <f t="shared" si="12"/>
        <v>82.862021675413303</v>
      </c>
      <c r="AN24" s="12">
        <f t="shared" si="13"/>
        <v>43.352193348132658</v>
      </c>
      <c r="AO24" s="12"/>
      <c r="AP24" s="12"/>
      <c r="AQ24" s="12"/>
      <c r="AR24" s="12"/>
      <c r="AS24" s="4"/>
      <c r="AT24" s="12"/>
      <c r="AU24" s="13"/>
      <c r="AV24" s="12"/>
      <c r="AW24" s="4"/>
      <c r="AX24" s="12"/>
      <c r="AY24" s="4"/>
      <c r="AZ24" s="4"/>
      <c r="BA24" s="4"/>
      <c r="BB24" s="4"/>
      <c r="BC24" s="4"/>
      <c r="BD24" s="10"/>
      <c r="BF24" s="10"/>
      <c r="BH24" s="10"/>
      <c r="BI24" s="10"/>
      <c r="BJ24" s="10"/>
      <c r="BK24" s="10"/>
      <c r="BL24" s="10"/>
      <c r="BN24" s="10"/>
      <c r="BO24" s="10"/>
      <c r="BP24" s="10"/>
      <c r="BQ24" s="10"/>
      <c r="BX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L24" s="10"/>
      <c r="CM24" s="10"/>
      <c r="CN24" s="10"/>
      <c r="CO24" s="10"/>
      <c r="CP24" s="10"/>
      <c r="CR24" s="10"/>
      <c r="CS24" s="10"/>
      <c r="CT24" s="10"/>
      <c r="CU24" s="10"/>
      <c r="CV24" s="10"/>
      <c r="CW24" s="4"/>
      <c r="CX24" s="4"/>
      <c r="CY24" s="12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</row>
    <row r="25" spans="2:171" s="1" customFormat="1" ht="15" customHeight="1">
      <c r="B25" s="8" t="s">
        <v>39</v>
      </c>
      <c r="C25" s="1">
        <f>(5+16/60+42/3600)</f>
        <v>5.2783333333333333</v>
      </c>
      <c r="D25" s="1">
        <f>45+59.9/60</f>
        <v>45.998333333333335</v>
      </c>
      <c r="E25" s="9">
        <f>MOD(360-(C25+((3.075+1.336*SIN(RADIANS(C25))*TAN(RADIANS(D25)))*(OBSERVATIONS!$U$35-36526)/365)/3600)*15,360)</f>
        <v>280.57993180158314</v>
      </c>
      <c r="F25" s="9">
        <f>D25+(20.04*COS(RADIANS(C25*15))*(OBSERVATIONS!$U$35-36526)/365)/3600</f>
        <v>46.017535703614087</v>
      </c>
      <c r="G25" s="9">
        <f>-17.3*SIN(RADIANS(125-0.05295*(OBSERVATIONS!$U$35-2451545)))-1.4*SIN(RADIANS(200+1.97129*(OBSERVATIONS!$U$35-2451545)))</f>
        <v>6.6308035321601082</v>
      </c>
      <c r="H25" s="9">
        <f>9.4*COS(RADIANS(125-0.05295*(OBSERVATIONS!$U$35-2451545)))+0.7*COS(RADIANS(200+1.97129*(OBSERVATIONS!$U$35-2451545)))</f>
        <v>-7.9109288482141293</v>
      </c>
      <c r="I25" s="10">
        <f t="shared" si="0"/>
        <v>280.58133955351047</v>
      </c>
      <c r="J25" s="10">
        <f t="shared" si="1"/>
        <v>46.01747115754889</v>
      </c>
      <c r="L25" s="11"/>
      <c r="N25" s="4"/>
      <c r="O25" s="15" t="s">
        <v>34</v>
      </c>
      <c r="P25" s="4">
        <v>0</v>
      </c>
      <c r="Q25" s="4"/>
      <c r="R25" s="4"/>
      <c r="S25" s="4"/>
      <c r="T25" s="4"/>
      <c r="U25" s="4"/>
      <c r="V25" s="4"/>
      <c r="W25" s="4"/>
      <c r="X25" s="4"/>
      <c r="Y25" s="4">
        <f>MOD(V$4+OBSERVATIONS!$AO$13+I20,360)</f>
        <v>272.07678521003282</v>
      </c>
      <c r="Z25" s="4">
        <f t="shared" si="6"/>
        <v>87.923214789967176</v>
      </c>
      <c r="AA25" s="4">
        <f t="shared" si="14"/>
        <v>-69.055540898805418</v>
      </c>
      <c r="AB25" s="4">
        <f t="shared" si="7"/>
        <v>0</v>
      </c>
      <c r="AC25" s="4">
        <f>ABS(TAN(RADIANS(ABS(OBSERVATIONS!$AO$12)))/TAN(RADIANS(ABS(Z25))))</f>
        <v>1.3706119515672738E-2</v>
      </c>
      <c r="AD25" s="4">
        <f>IF(AB25=0,IF(OBSERVATIONS!$AY$35="N",-AC25,AC25),IF(OBSERVATIONS!$AY$35="N",AC25,-AC25))</f>
        <v>-1.3706119515672738E-2</v>
      </c>
      <c r="AE25" s="4">
        <f t="shared" si="8"/>
        <v>-2.6143734053022878</v>
      </c>
      <c r="AF25" s="4">
        <f t="shared" si="9"/>
        <v>-2.6280795248179607</v>
      </c>
      <c r="AG25" s="4">
        <f>ABS(DEGREES(ATAN(1/(COS(RADIANS(ABS(OBSERVATIONS!$AO$12)))*AF25))))</f>
        <v>22.135435795440319</v>
      </c>
      <c r="AH25" s="4">
        <f t="shared" si="10"/>
        <v>157.86456420455968</v>
      </c>
      <c r="AI25" s="4">
        <f>AA25-OBSERVATIONS!$AO$12</f>
        <v>-89.760540898805417</v>
      </c>
      <c r="AJ25" s="12">
        <f>DEGREES(ASIN(SIN(RADIANS(OBSERVATIONS!$AO$12))*SIN(RADIANS(AA25))+COS(RADIANS(OBSERVATIONS!$AO$12))*COS(RADIANS(AA25))*COS(RADIANS(Y25))))</f>
        <v>-18.546772997774596</v>
      </c>
      <c r="AK25" s="12">
        <f t="shared" si="11"/>
        <v>-18.546772997774596</v>
      </c>
      <c r="AL25" s="8" t="s">
        <v>34</v>
      </c>
      <c r="AM25" s="12">
        <f t="shared" si="12"/>
        <v>157.86456420455968</v>
      </c>
      <c r="AN25" s="12">
        <f t="shared" si="13"/>
        <v>-18.546772997774596</v>
      </c>
      <c r="AO25" s="12"/>
      <c r="AP25" s="12"/>
      <c r="AQ25" s="12"/>
      <c r="AR25" s="12"/>
      <c r="AS25" s="4"/>
      <c r="AT25" s="12"/>
      <c r="AU25" s="13"/>
      <c r="AV25" s="12"/>
      <c r="AW25" s="4"/>
      <c r="AX25" s="12"/>
      <c r="AY25" s="4"/>
      <c r="AZ25" s="4"/>
      <c r="BA25" s="4"/>
      <c r="BB25" s="4"/>
      <c r="BC25" s="4"/>
      <c r="BD25" s="10"/>
      <c r="BF25" s="10"/>
      <c r="BH25" s="10"/>
      <c r="BI25" s="10"/>
      <c r="BJ25" s="10"/>
      <c r="BK25" s="10"/>
      <c r="BL25" s="10"/>
      <c r="BN25" s="10"/>
      <c r="BO25" s="10"/>
      <c r="BP25" s="10"/>
      <c r="BQ25" s="10"/>
      <c r="BX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L25" s="10"/>
      <c r="CM25" s="10"/>
      <c r="CN25" s="10"/>
      <c r="CO25" s="10"/>
      <c r="CP25" s="10"/>
      <c r="CR25" s="10"/>
      <c r="CS25" s="10"/>
      <c r="CT25" s="10"/>
      <c r="CU25" s="10"/>
      <c r="CV25" s="10"/>
      <c r="CW25" s="4"/>
      <c r="CX25" s="4"/>
      <c r="CY25" s="12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</row>
    <row r="26" spans="2:171" s="1" customFormat="1" ht="15" customHeight="1">
      <c r="B26" s="8" t="s">
        <v>40</v>
      </c>
      <c r="C26" s="1">
        <f>(20+41/60+24/3600)</f>
        <v>20.69</v>
      </c>
      <c r="D26" s="1">
        <f>45+16.9/60</f>
        <v>45.281666666666666</v>
      </c>
      <c r="E26" s="9">
        <f>MOD(360-(C26+((3.075+1.336*SIN(RADIANS(C26))*TAN(RADIANS(D26)))*(OBSERVATIONS!$U$35-36526)/365)/3600)*15,360)</f>
        <v>49.378190438895103</v>
      </c>
      <c r="F26" s="9">
        <f>D26+(20.04*COS(RADIANS(C26*15))*(OBSERVATIONS!$U$35-36526)/365)/3600</f>
        <v>45.347864839875818</v>
      </c>
      <c r="G26" s="9">
        <f>-17.3*SIN(RADIANS(125-0.05295*(OBSERVATIONS!$U$35-2451545)))-1.4*SIN(RADIANS(200+1.97129*(OBSERVATIONS!$U$35-2451545)))</f>
        <v>6.6308035321601082</v>
      </c>
      <c r="H26" s="9">
        <f>9.4*COS(RADIANS(125-0.05295*(OBSERVATIONS!$U$35-2451545)))+0.7*COS(RADIANS(200+1.97129*(OBSERVATIONS!$U$35-2451545)))</f>
        <v>-7.9109288482141293</v>
      </c>
      <c r="I26" s="10">
        <f t="shared" si="0"/>
        <v>49.379349908385493</v>
      </c>
      <c r="J26" s="10">
        <f t="shared" si="1"/>
        <v>45.34756283747415</v>
      </c>
      <c r="L26" s="11"/>
      <c r="N26" s="4"/>
      <c r="O26" s="15" t="s">
        <v>35</v>
      </c>
      <c r="P26" s="4">
        <v>0</v>
      </c>
      <c r="Q26" s="4"/>
      <c r="R26" s="4"/>
      <c r="S26" s="4"/>
      <c r="T26" s="4"/>
      <c r="U26" s="4"/>
      <c r="V26" s="4"/>
      <c r="W26" s="4"/>
      <c r="X26" s="4"/>
      <c r="Y26" s="4">
        <f>MOD(V$4+OBSERVATIONS!$AO$13+I21,360)</f>
        <v>38.533460130279082</v>
      </c>
      <c r="Z26" s="4">
        <f t="shared" si="6"/>
        <v>38.533460130279082</v>
      </c>
      <c r="AA26" s="4">
        <f t="shared" si="14"/>
        <v>-59.568653122012073</v>
      </c>
      <c r="AB26" s="4">
        <f t="shared" si="7"/>
        <v>0</v>
      </c>
      <c r="AC26" s="4">
        <f>ABS(TAN(RADIANS(ABS(OBSERVATIONS!$AO$12)))/TAN(RADIANS(ABS(Z26))))</f>
        <v>0.47460203286630642</v>
      </c>
      <c r="AD26" s="4">
        <f>IF(AB26=0,IF(OBSERVATIONS!$AY$35="N",-AC26,AC26),IF(OBSERVATIONS!$AY$35="N",AC26,-AC26))</f>
        <v>-0.47460203286630642</v>
      </c>
      <c r="AE26" s="4">
        <f t="shared" si="8"/>
        <v>-2.7325872822772195</v>
      </c>
      <c r="AF26" s="4">
        <f t="shared" si="9"/>
        <v>-3.207189315143526</v>
      </c>
      <c r="AG26" s="4">
        <f>ABS(DEGREES(ATAN(1/(COS(RADIANS(ABS(OBSERVATIONS!$AO$12)))*AF26))))</f>
        <v>18.434678627835453</v>
      </c>
      <c r="AH26" s="4">
        <f t="shared" si="10"/>
        <v>198.43467862783547</v>
      </c>
      <c r="AI26" s="4">
        <f>AA26-OBSERVATIONS!$AO$12</f>
        <v>-80.273653122012064</v>
      </c>
      <c r="AJ26" s="12">
        <f>DEGREES(ASIN(SIN(RADIANS(OBSERVATIONS!$AO$12))*SIN(RADIANS(AA26))+COS(RADIANS(OBSERVATIONS!$AO$12))*COS(RADIANS(AA26))*COS(RADIANS(Y26))))</f>
        <v>3.7711692450065422</v>
      </c>
      <c r="AK26" s="12">
        <f t="shared" si="11"/>
        <v>3.7711692450065422</v>
      </c>
      <c r="AL26" s="8" t="s">
        <v>35</v>
      </c>
      <c r="AM26" s="12">
        <f t="shared" si="12"/>
        <v>198.43467862783547</v>
      </c>
      <c r="AN26" s="12">
        <f t="shared" si="13"/>
        <v>3.7711692450065422</v>
      </c>
      <c r="AO26" s="12"/>
      <c r="AP26" s="12"/>
      <c r="AQ26" s="12"/>
      <c r="AR26" s="12"/>
      <c r="AS26" s="4"/>
      <c r="AT26" s="12"/>
      <c r="AU26" s="13"/>
      <c r="AV26" s="12"/>
      <c r="AW26" s="4"/>
      <c r="AX26" s="12"/>
      <c r="AY26" s="4"/>
      <c r="AZ26" s="4"/>
      <c r="BA26" s="4"/>
      <c r="BB26" s="4"/>
      <c r="BC26" s="4"/>
      <c r="BD26" s="10"/>
      <c r="BF26" s="10"/>
      <c r="BH26" s="10"/>
      <c r="BI26" s="10"/>
      <c r="BJ26" s="10"/>
      <c r="BK26" s="10"/>
      <c r="BL26" s="10"/>
      <c r="BN26" s="10"/>
      <c r="BO26" s="10"/>
      <c r="BP26" s="10"/>
      <c r="BQ26" s="10"/>
      <c r="BX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L26" s="10"/>
      <c r="CM26" s="10"/>
      <c r="CN26" s="10"/>
      <c r="CO26" s="10"/>
      <c r="CP26" s="10"/>
      <c r="CR26" s="10"/>
      <c r="CS26" s="10"/>
      <c r="CT26" s="10"/>
      <c r="CU26" s="10"/>
      <c r="CV26" s="10"/>
      <c r="CW26" s="4"/>
      <c r="CX26" s="4"/>
      <c r="CY26" s="12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</row>
    <row r="27" spans="2:171" s="1" customFormat="1" ht="15" customHeight="1">
      <c r="B27" s="8" t="s">
        <v>41</v>
      </c>
      <c r="C27" s="1">
        <f>(11+49/60+3/3600)</f>
        <v>11.817499999999999</v>
      </c>
      <c r="D27" s="1">
        <f>14+34.3/60</f>
        <v>14.571666666666667</v>
      </c>
      <c r="E27" s="9">
        <f>MOD(360-(C27+((3.075+1.336*SIN(RADIANS(C27))*TAN(RADIANS(D27)))*(OBSERVATIONS!$U$35-36526)/365)/3600)*15,360)</f>
        <v>182.49672808993105</v>
      </c>
      <c r="F27" s="9">
        <f>D27+(20.04*COS(RADIANS(C27*15))*(OBSERVATIONS!$U$35-36526)/365)/3600</f>
        <v>14.469539691096479</v>
      </c>
      <c r="G27" s="9">
        <f>-17.3*SIN(RADIANS(125-0.05295*(OBSERVATIONS!$U$35-2451545)))-1.4*SIN(RADIANS(200+1.97129*(OBSERVATIONS!$U$35-2451545)))</f>
        <v>6.6308035321601082</v>
      </c>
      <c r="H27" s="9">
        <f>9.4*COS(RADIANS(125-0.05295*(OBSERVATIONS!$U$35-2451545)))+0.7*COS(RADIANS(200+1.97129*(OBSERVATIONS!$U$35-2451545)))</f>
        <v>-7.9109288482141293</v>
      </c>
      <c r="I27" s="10">
        <f t="shared" si="0"/>
        <v>182.49694013409203</v>
      </c>
      <c r="J27" s="10">
        <f t="shared" si="1"/>
        <v>14.468357790436295</v>
      </c>
      <c r="L27" s="11"/>
      <c r="N27" s="4"/>
      <c r="O27" s="15" t="s">
        <v>36</v>
      </c>
      <c r="P27" s="4">
        <v>0</v>
      </c>
      <c r="Q27" s="4"/>
      <c r="R27" s="4"/>
      <c r="S27" s="4"/>
      <c r="T27" s="4"/>
      <c r="U27" s="4"/>
      <c r="V27" s="4"/>
      <c r="W27" s="4"/>
      <c r="X27" s="4"/>
      <c r="Y27" s="4">
        <f>MOD(V$4+OBSERVATIONS!$AO$13+I22,360)</f>
        <v>82.858835113066334</v>
      </c>
      <c r="Z27" s="4">
        <f t="shared" si="6"/>
        <v>82.858835113066334</v>
      </c>
      <c r="AA27" s="4">
        <f t="shared" si="14"/>
        <v>6.363731708427391</v>
      </c>
      <c r="AB27" s="4">
        <f t="shared" si="7"/>
        <v>0</v>
      </c>
      <c r="AC27" s="4">
        <f>ABS(TAN(RADIANS(ABS(OBSERVATIONS!$AO$12)))/TAN(RADIANS(ABS(Z27))))</f>
        <v>4.7354227071085164E-2</v>
      </c>
      <c r="AD27" s="4">
        <f>IF(AB27=0,IF(OBSERVATIONS!$AY$35="N",-AC27,AC27),IF(OBSERVATIONS!$AY$35="N",AC27,-AC27))</f>
        <v>-4.7354227071085164E-2</v>
      </c>
      <c r="AE27" s="4">
        <f t="shared" si="8"/>
        <v>0.11239894443886517</v>
      </c>
      <c r="AF27" s="4">
        <f t="shared" si="9"/>
        <v>6.5044717367780003E-2</v>
      </c>
      <c r="AG27" s="4">
        <f>ABS(DEGREES(ATAN(1/(COS(RADIANS(ABS(OBSERVATIONS!$AO$12)))*AF27))))</f>
        <v>86.518205831703938</v>
      </c>
      <c r="AH27" s="4">
        <f t="shared" si="10"/>
        <v>273.48179416829606</v>
      </c>
      <c r="AI27" s="4">
        <f>AA27-OBSERVATIONS!$AO$12</f>
        <v>-14.341268291572607</v>
      </c>
      <c r="AJ27" s="12">
        <f>DEGREES(ASIN(SIN(RADIANS(OBSERVATIONS!$AO$12))*SIN(RADIANS(AA27))+COS(RADIANS(OBSERVATIONS!$AO$12))*COS(RADIANS(AA27))*COS(RADIANS(Y27))))</f>
        <v>8.9027008436194368</v>
      </c>
      <c r="AK27" s="12">
        <f t="shared" si="11"/>
        <v>8.9027008436194368</v>
      </c>
      <c r="AL27" s="8" t="s">
        <v>36</v>
      </c>
      <c r="AM27" s="12">
        <f t="shared" si="12"/>
        <v>273.48179416829606</v>
      </c>
      <c r="AN27" s="12">
        <f t="shared" si="13"/>
        <v>8.9027008436194368</v>
      </c>
      <c r="AO27" s="12"/>
      <c r="AP27" s="12"/>
      <c r="AQ27" s="12"/>
      <c r="AR27" s="12"/>
      <c r="AS27" s="4"/>
      <c r="AT27" s="12"/>
      <c r="AU27" s="13"/>
      <c r="AV27" s="12"/>
      <c r="AW27" s="4"/>
      <c r="AX27" s="12"/>
      <c r="AY27" s="4"/>
      <c r="AZ27" s="4"/>
      <c r="BA27" s="4"/>
      <c r="BB27" s="4"/>
      <c r="BC27" s="4"/>
      <c r="BD27" s="10"/>
      <c r="BF27" s="10"/>
      <c r="BH27" s="10"/>
      <c r="BI27" s="10"/>
      <c r="BJ27" s="10"/>
      <c r="BK27" s="10"/>
      <c r="BL27" s="10"/>
      <c r="BN27" s="10"/>
      <c r="BO27" s="10"/>
      <c r="BP27" s="10"/>
      <c r="BQ27" s="10"/>
      <c r="BX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L27" s="10"/>
      <c r="CM27" s="10"/>
      <c r="CN27" s="10"/>
      <c r="CO27" s="10"/>
      <c r="CP27" s="10"/>
      <c r="CR27" s="10"/>
      <c r="CS27" s="10"/>
      <c r="CT27" s="10"/>
      <c r="CU27" s="10"/>
      <c r="CV27" s="10"/>
      <c r="CW27" s="4"/>
      <c r="CX27" s="4"/>
      <c r="CY27" s="12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</row>
    <row r="28" spans="2:171" s="1" customFormat="1" ht="15" customHeight="1">
      <c r="B28" s="8" t="s">
        <v>42</v>
      </c>
      <c r="C28" s="1">
        <f>(0+43/60+34/3600)</f>
        <v>0.72611111111111115</v>
      </c>
      <c r="D28" s="1">
        <f>-17-59.4/60</f>
        <v>-17.989999999999998</v>
      </c>
      <c r="E28" s="9">
        <f>MOD(360-(C28+((3.075+1.336*SIN(RADIANS(C28))*TAN(RADIANS(D28)))*(OBSERVATIONS!$U$35-36526)/365)/3600)*15,360)</f>
        <v>348.87342531535904</v>
      </c>
      <c r="F28" s="9">
        <f>D28+(20.04*COS(RADIANS(C28*15))*(OBSERVATIONS!$U$35-36526)/365)/3600</f>
        <v>-17.889598143223541</v>
      </c>
      <c r="G28" s="9">
        <f>-17.3*SIN(RADIANS(125-0.05295*(OBSERVATIONS!$U$35-2451545)))-1.4*SIN(RADIANS(200+1.97129*(OBSERVATIONS!$U$35-2451545)))</f>
        <v>6.6308035321601082</v>
      </c>
      <c r="H28" s="9">
        <f>9.4*COS(RADIANS(125-0.05295*(OBSERVATIONS!$U$35-2451545)))+0.7*COS(RADIANS(200+1.97129*(OBSERVATIONS!$U$35-2451545)))</f>
        <v>-7.9109288482141293</v>
      </c>
      <c r="I28" s="10">
        <f t="shared" si="0"/>
        <v>348.87293424974456</v>
      </c>
      <c r="J28" s="10">
        <f t="shared" si="1"/>
        <v>-17.888906486195705</v>
      </c>
      <c r="L28" s="11"/>
      <c r="N28" s="4"/>
      <c r="O28" s="15" t="s">
        <v>37</v>
      </c>
      <c r="P28" s="4">
        <v>0</v>
      </c>
      <c r="Q28" s="4"/>
      <c r="R28" s="4"/>
      <c r="S28" s="4"/>
      <c r="T28" s="4"/>
      <c r="U28" s="4"/>
      <c r="V28" s="4"/>
      <c r="W28" s="4"/>
      <c r="X28" s="4"/>
      <c r="Y28" s="4">
        <f>MOD(V$4+OBSERVATIONS!$AO$13+I23,360)</f>
        <v>75.346039231465511</v>
      </c>
      <c r="Z28" s="4">
        <f t="shared" si="6"/>
        <v>75.346039231465511</v>
      </c>
      <c r="AA28" s="4">
        <f t="shared" si="14"/>
        <v>7.4069374241458519</v>
      </c>
      <c r="AB28" s="4">
        <f t="shared" si="7"/>
        <v>0</v>
      </c>
      <c r="AC28" s="4">
        <f>ABS(TAN(RADIANS(ABS(OBSERVATIONS!$AO$12)))/TAN(RADIANS(ABS(Z28))))</f>
        <v>9.8833566289686342E-2</v>
      </c>
      <c r="AD28" s="4">
        <f>IF(AB28=0,IF(OBSERVATIONS!$AY$35="N",-AC28,AC28),IF(OBSERVATIONS!$AY$35="N",AC28,-AC28))</f>
        <v>-9.8833566289686342E-2</v>
      </c>
      <c r="AE28" s="4">
        <f t="shared" si="8"/>
        <v>0.1343713689676771</v>
      </c>
      <c r="AF28" s="4">
        <f t="shared" si="9"/>
        <v>3.5537802677990754E-2</v>
      </c>
      <c r="AG28" s="4">
        <f>ABS(DEGREES(ATAN(1/(COS(RADIANS(ABS(OBSERVATIONS!$AO$12)))*AF28))))</f>
        <v>88.096044511075249</v>
      </c>
      <c r="AH28" s="4">
        <f t="shared" si="10"/>
        <v>271.90395548892474</v>
      </c>
      <c r="AI28" s="4">
        <f>AA28-OBSERVATIONS!$AO$12</f>
        <v>-13.298062575854146</v>
      </c>
      <c r="AJ28" s="12">
        <f>DEGREES(ASIN(SIN(RADIANS(OBSERVATIONS!$AO$12))*SIN(RADIANS(AA28))+COS(RADIANS(OBSERVATIONS!$AO$12))*COS(RADIANS(AA28))*COS(RADIANS(Y28))))</f>
        <v>16.274871976182506</v>
      </c>
      <c r="AK28" s="12">
        <f t="shared" si="11"/>
        <v>16.274871976182506</v>
      </c>
      <c r="AL28" s="8" t="s">
        <v>37</v>
      </c>
      <c r="AM28" s="12">
        <f t="shared" si="12"/>
        <v>271.90395548892474</v>
      </c>
      <c r="AN28" s="12">
        <f t="shared" si="13"/>
        <v>16.274871976182506</v>
      </c>
      <c r="AO28" s="12"/>
      <c r="AP28" s="12"/>
      <c r="AQ28" s="12"/>
      <c r="AR28" s="12"/>
      <c r="AS28" s="4"/>
      <c r="AT28" s="12"/>
      <c r="AU28" s="13"/>
      <c r="AV28" s="12"/>
      <c r="AW28" s="4"/>
      <c r="AX28" s="12"/>
      <c r="AY28" s="4"/>
      <c r="AZ28" s="4"/>
      <c r="BA28" s="4"/>
      <c r="BB28" s="4"/>
      <c r="BC28" s="4"/>
      <c r="BD28" s="10"/>
      <c r="BF28" s="10"/>
      <c r="BH28" s="10"/>
      <c r="BI28" s="10"/>
      <c r="BJ28" s="10"/>
      <c r="BK28" s="10"/>
      <c r="BL28" s="10"/>
      <c r="BN28" s="10"/>
      <c r="BO28" s="10"/>
      <c r="BP28" s="10"/>
      <c r="BQ28" s="10"/>
      <c r="BX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L28" s="10"/>
      <c r="CM28" s="10"/>
      <c r="CN28" s="10"/>
      <c r="CO28" s="10"/>
      <c r="CP28" s="10"/>
      <c r="CR28" s="10"/>
      <c r="CS28" s="10"/>
      <c r="CT28" s="10"/>
      <c r="CU28" s="10"/>
      <c r="CV28" s="10"/>
      <c r="CW28" s="4"/>
      <c r="CX28" s="4"/>
      <c r="CY28" s="12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</row>
    <row r="29" spans="2:171" s="1" customFormat="1" ht="15" customHeight="1">
      <c r="B29" s="8" t="s">
        <v>43</v>
      </c>
      <c r="C29" s="1">
        <f>(11+3/60+43/3600)</f>
        <v>11.061944444444444</v>
      </c>
      <c r="D29" s="1">
        <f>61+44.8/60</f>
        <v>61.74666666666667</v>
      </c>
      <c r="E29" s="9">
        <f>MOD(360-(C29+((3.075+1.336*SIN(RADIANS(C29))*TAN(RADIANS(D29)))*(OBSERVATIONS!$U$35-36526)/365)/3600)*15,360)</f>
        <v>193.79899970680509</v>
      </c>
      <c r="F29" s="9">
        <f>D29+(20.04*COS(RADIANS(C29*15))*(OBSERVATIONS!$U$35-36526)/365)/3600</f>
        <v>61.647490742190143</v>
      </c>
      <c r="G29" s="9">
        <f>-17.3*SIN(RADIANS(125-0.05295*(OBSERVATIONS!$U$35-2451545)))-1.4*SIN(RADIANS(200+1.97129*(OBSERVATIONS!$U$35-2451545)))</f>
        <v>6.6308035321601082</v>
      </c>
      <c r="H29" s="9">
        <f>9.4*COS(RADIANS(125-0.05295*(OBSERVATIONS!$U$35-2451545)))+0.7*COS(RADIANS(200+1.97129*(OBSERVATIONS!$U$35-2451545)))</f>
        <v>-7.9109288482141293</v>
      </c>
      <c r="I29" s="10">
        <f t="shared" si="0"/>
        <v>193.79471682450171</v>
      </c>
      <c r="J29" s="10">
        <f t="shared" si="1"/>
        <v>61.646358391642799</v>
      </c>
      <c r="L29" s="11"/>
      <c r="N29" s="4"/>
      <c r="O29" s="15" t="s">
        <v>38</v>
      </c>
      <c r="P29" s="4">
        <v>0</v>
      </c>
      <c r="Q29" s="4"/>
      <c r="R29" s="4"/>
      <c r="S29" s="4"/>
      <c r="T29" s="4"/>
      <c r="U29" s="4"/>
      <c r="V29" s="4"/>
      <c r="W29" s="4"/>
      <c r="X29" s="4"/>
      <c r="Y29" s="4">
        <f>MOD(V$4+OBSERVATIONS!$AO$13+I24,360)</f>
        <v>68.161924826629615</v>
      </c>
      <c r="Z29" s="4">
        <f t="shared" si="6"/>
        <v>68.161924826629615</v>
      </c>
      <c r="AA29" s="4">
        <f t="shared" si="14"/>
        <v>-52.709334786189473</v>
      </c>
      <c r="AB29" s="4">
        <f t="shared" si="7"/>
        <v>0</v>
      </c>
      <c r="AC29" s="4">
        <f>ABS(TAN(RADIANS(ABS(OBSERVATIONS!$AO$12)))/TAN(RADIANS(ABS(Z29))))</f>
        <v>0.15146794459492396</v>
      </c>
      <c r="AD29" s="4">
        <f>IF(AB29=0,IF(OBSERVATIONS!$AY$35="N",-AC29,AC29),IF(OBSERVATIONS!$AY$35="N",AC29,-AC29))</f>
        <v>-0.15146794459492396</v>
      </c>
      <c r="AE29" s="4">
        <f t="shared" si="8"/>
        <v>-1.4146481982038774</v>
      </c>
      <c r="AF29" s="4">
        <f t="shared" si="9"/>
        <v>-1.5661161427988013</v>
      </c>
      <c r="AG29" s="4">
        <f>ABS(DEGREES(ATAN(1/(COS(RADIANS(ABS(OBSERVATIONS!$AO$12)))*AF29))))</f>
        <v>34.317830001919035</v>
      </c>
      <c r="AH29" s="4">
        <f t="shared" si="10"/>
        <v>214.31783000191905</v>
      </c>
      <c r="AI29" s="4">
        <f>AA29-OBSERVATIONS!$AO$12</f>
        <v>-73.414334786189471</v>
      </c>
      <c r="AJ29" s="12">
        <f>DEGREES(ASIN(SIN(RADIANS(OBSERVATIONS!$AO$12))*SIN(RADIANS(AA29))+COS(RADIANS(OBSERVATIONS!$AO$12))*COS(RADIANS(AA29))*COS(RADIANS(Y29))))</f>
        <v>-4.0407191726246348</v>
      </c>
      <c r="AK29" s="12">
        <f t="shared" si="11"/>
        <v>-4.0407191726246348</v>
      </c>
      <c r="AL29" s="8" t="s">
        <v>38</v>
      </c>
      <c r="AM29" s="12">
        <f t="shared" si="12"/>
        <v>214.31783000191905</v>
      </c>
      <c r="AN29" s="12">
        <f t="shared" si="13"/>
        <v>-4.0407191726246348</v>
      </c>
      <c r="AO29" s="12"/>
      <c r="AP29" s="12"/>
      <c r="AQ29" s="12"/>
      <c r="AR29" s="12"/>
      <c r="AS29" s="4"/>
      <c r="AT29" s="12"/>
      <c r="AU29" s="13"/>
      <c r="AV29" s="12"/>
      <c r="AW29" s="4"/>
      <c r="AX29" s="12"/>
      <c r="AY29" s="4"/>
      <c r="AZ29" s="4"/>
      <c r="BA29" s="4"/>
      <c r="BB29" s="4"/>
      <c r="BC29" s="4"/>
      <c r="BD29" s="10"/>
      <c r="BF29" s="10"/>
      <c r="BH29" s="10"/>
      <c r="BI29" s="10"/>
      <c r="BJ29" s="10"/>
      <c r="BK29" s="10"/>
      <c r="BL29" s="10"/>
      <c r="BN29" s="10"/>
      <c r="BO29" s="10"/>
      <c r="BP29" s="10"/>
      <c r="BQ29" s="10"/>
      <c r="BX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L29" s="10"/>
      <c r="CM29" s="10"/>
      <c r="CN29" s="10"/>
      <c r="CO29" s="10"/>
      <c r="CP29" s="10"/>
      <c r="CR29" s="10"/>
      <c r="CS29" s="10"/>
      <c r="CT29" s="10"/>
      <c r="CU29" s="10"/>
      <c r="CV29" s="10"/>
      <c r="CW29" s="4"/>
      <c r="CX29" s="4"/>
      <c r="CY29" s="12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</row>
    <row r="30" spans="2:171" s="1" customFormat="1" ht="15" customHeight="1">
      <c r="B30" s="8" t="s">
        <v>44</v>
      </c>
      <c r="C30" s="1">
        <f>(5+26/60+18/3600)</f>
        <v>5.4383333333333335</v>
      </c>
      <c r="D30" s="1">
        <f>28+36.4/60</f>
        <v>28.606666666666666</v>
      </c>
      <c r="E30" s="9">
        <f>MOD(360-(C30+((3.075+1.336*SIN(RADIANS(C30))*TAN(RADIANS(D30)))*(OBSERVATIONS!$U$35-36526)/365)/3600)*15,360)</f>
        <v>278.18438656843983</v>
      </c>
      <c r="F30" s="9">
        <f>D30+(20.04*COS(RADIANS(C30*15))*(OBSERVATIONS!$U$35-36526)/365)/3600</f>
        <v>28.621646861344971</v>
      </c>
      <c r="G30" s="9">
        <f>-17.3*SIN(RADIANS(125-0.05295*(OBSERVATIONS!$U$35-2451545)))-1.4*SIN(RADIANS(200+1.97129*(OBSERVATIONS!$U$35-2451545)))</f>
        <v>6.6308035321601082</v>
      </c>
      <c r="H30" s="9">
        <f>9.4*COS(RADIANS(125-0.05295*(OBSERVATIONS!$U$35-2451545)))+0.7*COS(RADIANS(200+1.97129*(OBSERVATIONS!$U$35-2451545)))</f>
        <v>-7.9109288482141293</v>
      </c>
      <c r="I30" s="10">
        <f t="shared" si="0"/>
        <v>278.18533047161895</v>
      </c>
      <c r="J30" s="10">
        <f t="shared" si="1"/>
        <v>28.621545948400378</v>
      </c>
      <c r="L30" s="11"/>
      <c r="N30" s="4"/>
      <c r="O30" s="15" t="s">
        <v>39</v>
      </c>
      <c r="P30" s="4">
        <v>0</v>
      </c>
      <c r="Q30" s="4"/>
      <c r="R30" s="4"/>
      <c r="S30" s="4"/>
      <c r="T30" s="4"/>
      <c r="U30" s="4"/>
      <c r="V30" s="4"/>
      <c r="W30" s="4"/>
      <c r="X30" s="4"/>
      <c r="Y30" s="4">
        <f>MOD(V$4+OBSERVATIONS!$AO$13+I25,360)</f>
        <v>84.95950391604498</v>
      </c>
      <c r="Z30" s="4">
        <f t="shared" si="6"/>
        <v>84.95950391604498</v>
      </c>
      <c r="AA30" s="4">
        <f t="shared" si="14"/>
        <v>46.01747115754889</v>
      </c>
      <c r="AB30" s="4">
        <f t="shared" si="7"/>
        <v>0</v>
      </c>
      <c r="AC30" s="4">
        <f>ABS(TAN(RADIANS(ABS(OBSERVATIONS!$AO$12)))/TAN(RADIANS(ABS(Z30))))</f>
        <v>3.3337141990839057E-2</v>
      </c>
      <c r="AD30" s="4">
        <f>IF(AB30=0,IF(OBSERVATIONS!$AY$35="N",-AC30,AC30),IF(OBSERVATIONS!$AY$35="N",AC30,-AC30))</f>
        <v>-3.3337141990839057E-2</v>
      </c>
      <c r="AE30" s="4">
        <f t="shared" si="8"/>
        <v>1.040184978196391</v>
      </c>
      <c r="AF30" s="4">
        <f t="shared" si="9"/>
        <v>1.006847836205552</v>
      </c>
      <c r="AG30" s="4">
        <f>ABS(DEGREES(ATAN(1/(COS(RADIANS(ABS(OBSERVATIONS!$AO$12)))*AF30))))</f>
        <v>46.716197162001507</v>
      </c>
      <c r="AH30" s="4">
        <f t="shared" si="10"/>
        <v>313.28380283799851</v>
      </c>
      <c r="AI30" s="4">
        <f>AA30-OBSERVATIONS!$AO$12</f>
        <v>25.312471157548892</v>
      </c>
      <c r="AJ30" s="12">
        <f>DEGREES(ASIN(SIN(RADIANS(OBSERVATIONS!$AO$12))*SIN(RADIANS(AA30))+COS(RADIANS(OBSERVATIONS!$AO$12))*COS(RADIANS(AA30))*COS(RADIANS(Y30))))</f>
        <v>18.14812857002747</v>
      </c>
      <c r="AK30" s="12">
        <f t="shared" si="11"/>
        <v>18.14812857002747</v>
      </c>
      <c r="AL30" s="8" t="s">
        <v>39</v>
      </c>
      <c r="AM30" s="12">
        <f t="shared" si="12"/>
        <v>313.28380283799851</v>
      </c>
      <c r="AN30" s="12">
        <f t="shared" si="13"/>
        <v>18.14812857002747</v>
      </c>
      <c r="AO30" s="12"/>
      <c r="AP30" s="12"/>
      <c r="AQ30" s="12"/>
      <c r="AR30" s="12"/>
      <c r="AS30" s="4"/>
      <c r="AT30" s="12"/>
      <c r="AU30" s="13"/>
      <c r="AV30" s="12"/>
      <c r="AW30" s="4"/>
      <c r="AX30" s="12"/>
      <c r="AY30" s="4"/>
      <c r="AZ30" s="4"/>
      <c r="BA30" s="4"/>
      <c r="BB30" s="4"/>
      <c r="BC30" s="4"/>
      <c r="BD30" s="10"/>
      <c r="BF30" s="10"/>
      <c r="BH30" s="10"/>
      <c r="BI30" s="10"/>
      <c r="BJ30" s="10"/>
      <c r="BK30" s="10"/>
      <c r="BL30" s="10"/>
      <c r="BN30" s="10"/>
      <c r="BO30" s="10"/>
      <c r="BP30" s="10"/>
      <c r="BQ30" s="10"/>
      <c r="BX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L30" s="10"/>
      <c r="CM30" s="10"/>
      <c r="CN30" s="10"/>
      <c r="CO30" s="10"/>
      <c r="CP30" s="10"/>
      <c r="CR30" s="10"/>
      <c r="CS30" s="10"/>
      <c r="CT30" s="10"/>
      <c r="CU30" s="10"/>
      <c r="CV30" s="10"/>
      <c r="CW30" s="4"/>
      <c r="CX30" s="4"/>
      <c r="CY30" s="12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</row>
    <row r="31" spans="2:171" s="1" customFormat="1" ht="15" customHeight="1">
      <c r="B31" s="8" t="s">
        <v>45</v>
      </c>
      <c r="C31" s="1">
        <f>(17+56/60+34/3600)</f>
        <v>17.942777777777778</v>
      </c>
      <c r="D31" s="1">
        <f>51+29.3/60</f>
        <v>51.488333333333337</v>
      </c>
      <c r="E31" s="9">
        <f>MOD(360-(C31+((3.075+1.336*SIN(RADIANS(C31))*TAN(RADIANS(D31)))*(OBSERVATIONS!$U$35-36526)/365)/3600)*15,360)</f>
        <v>90.583422830052996</v>
      </c>
      <c r="F31" s="9">
        <f>D31+(20.04*COS(RADIANS(C31*15))*(OBSERVATIONS!$U$35-36526)/365)/3600</f>
        <v>51.486801704760971</v>
      </c>
      <c r="G31" s="9">
        <f>-17.3*SIN(RADIANS(125-0.05295*(OBSERVATIONS!$U$35-2451545)))-1.4*SIN(RADIANS(200+1.97129*(OBSERVATIONS!$U$35-2451545)))</f>
        <v>6.6308035321601082</v>
      </c>
      <c r="H31" s="9">
        <f>9.4*COS(RADIANS(125-0.05295*(OBSERVATIONS!$U$35-2451545)))+0.7*COS(RADIANS(200+1.97129*(OBSERVATIONS!$U$35-2451545)))</f>
        <v>-7.9109288482141293</v>
      </c>
      <c r="I31" s="10">
        <f t="shared" si="0"/>
        <v>90.583364412181467</v>
      </c>
      <c r="J31" s="10">
        <f t="shared" si="1"/>
        <v>51.486113757570052</v>
      </c>
      <c r="L31" s="11"/>
      <c r="N31" s="4"/>
      <c r="O31" s="15" t="s">
        <v>40</v>
      </c>
      <c r="P31" s="4">
        <v>0</v>
      </c>
      <c r="Q31" s="4"/>
      <c r="R31" s="4"/>
      <c r="S31" s="4"/>
      <c r="T31" s="4"/>
      <c r="U31" s="4"/>
      <c r="V31" s="4"/>
      <c r="W31" s="4"/>
      <c r="X31" s="4"/>
      <c r="Y31" s="4">
        <f>MOD(V$4+OBSERVATIONS!$AO$13+I26,360)</f>
        <v>213.75751427092001</v>
      </c>
      <c r="Z31" s="4">
        <f t="shared" si="6"/>
        <v>146.24248572907999</v>
      </c>
      <c r="AA31" s="4">
        <f t="shared" si="14"/>
        <v>45.34756283747415</v>
      </c>
      <c r="AB31" s="4">
        <f t="shared" si="7"/>
        <v>1</v>
      </c>
      <c r="AC31" s="4">
        <f>ABS(TAN(RADIANS(ABS(OBSERVATIONS!$AO$12)))/TAN(RADIANS(ABS(Z31))))</f>
        <v>0.56550888181114822</v>
      </c>
      <c r="AD31" s="4">
        <f>IF(AB31=0,IF(OBSERVATIONS!$AY$35="N",-AC31,AC31),IF(OBSERVATIONS!$AY$35="N",AC31,-AC31))</f>
        <v>0.56550888181114822</v>
      </c>
      <c r="AE31" s="4">
        <f t="shared" si="8"/>
        <v>1.821565916879736</v>
      </c>
      <c r="AF31" s="4">
        <f t="shared" si="9"/>
        <v>2.3870747986908842</v>
      </c>
      <c r="AG31" s="4">
        <f>ABS(DEGREES(ATAN(1/(COS(RADIANS(ABS(OBSERVATIONS!$AO$12)))*AF31))))</f>
        <v>24.125118489665141</v>
      </c>
      <c r="AH31" s="4">
        <f t="shared" si="10"/>
        <v>24.125118489665141</v>
      </c>
      <c r="AI31" s="4">
        <f>AA31-OBSERVATIONS!$AO$12</f>
        <v>24.642562837474152</v>
      </c>
      <c r="AJ31" s="12">
        <f>DEGREES(ASIN(SIN(RADIANS(OBSERVATIONS!$AO$12))*SIN(RADIANS(AA31))+COS(RADIANS(OBSERVATIONS!$AO$12))*COS(RADIANS(AA31))*COS(RADIANS(Y31))))</f>
        <v>-17.160925434299592</v>
      </c>
      <c r="AK31" s="12">
        <f t="shared" si="11"/>
        <v>-17.160925434299592</v>
      </c>
      <c r="AL31" s="8" t="s">
        <v>40</v>
      </c>
      <c r="AM31" s="12">
        <f t="shared" si="12"/>
        <v>24.125118489665141</v>
      </c>
      <c r="AN31" s="12">
        <f t="shared" si="13"/>
        <v>-17.160925434299592</v>
      </c>
      <c r="AO31" s="12"/>
      <c r="AP31" s="12"/>
      <c r="AQ31" s="12"/>
      <c r="AR31" s="12"/>
      <c r="AS31" s="4"/>
      <c r="AT31" s="12"/>
      <c r="AU31" s="13"/>
      <c r="AV31" s="12"/>
      <c r="AW31" s="4"/>
      <c r="AX31" s="12"/>
      <c r="AY31" s="4"/>
      <c r="AZ31" s="4"/>
      <c r="BA31" s="4"/>
      <c r="BB31" s="4"/>
      <c r="BC31" s="4"/>
      <c r="BD31" s="10"/>
      <c r="BF31" s="10"/>
      <c r="BH31" s="10"/>
      <c r="BI31" s="10"/>
      <c r="BJ31" s="10"/>
      <c r="BK31" s="10"/>
      <c r="BL31" s="10"/>
      <c r="BN31" s="10"/>
      <c r="BO31" s="10"/>
      <c r="BP31" s="10"/>
      <c r="BQ31" s="10"/>
      <c r="BX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L31" s="10"/>
      <c r="CM31" s="10"/>
      <c r="CN31" s="10"/>
      <c r="CO31" s="10"/>
      <c r="CP31" s="10"/>
      <c r="CR31" s="10"/>
      <c r="CS31" s="10"/>
      <c r="CT31" s="10"/>
      <c r="CU31" s="10"/>
      <c r="CV31" s="10"/>
      <c r="CW31" s="4"/>
      <c r="CX31" s="4"/>
      <c r="CY31" s="12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</row>
    <row r="32" spans="2:171" s="1" customFormat="1" ht="15" customHeight="1">
      <c r="B32" s="8" t="s">
        <v>46</v>
      </c>
      <c r="C32" s="1">
        <f>(21+44/60+10/3600)</f>
        <v>21.736111111111111</v>
      </c>
      <c r="D32" s="1">
        <f>9+52.5/60</f>
        <v>9.875</v>
      </c>
      <c r="E32" s="9">
        <f>MOD(360-(C32+((3.075+1.336*SIN(RADIANS(C32))*TAN(RADIANS(D32)))*(OBSERVATIONS!$U$35-36526)/365)/3600)*15,360)</f>
        <v>33.716413241837358</v>
      </c>
      <c r="F32" s="9">
        <f>D32+(20.04*COS(RADIANS(C32*15))*(OBSERVATIONS!$U$35-36526)/365)/3600</f>
        <v>9.9598053855001396</v>
      </c>
      <c r="G32" s="9">
        <f>-17.3*SIN(RADIANS(125-0.05295*(OBSERVATIONS!$U$35-2451545)))-1.4*SIN(RADIANS(200+1.97129*(OBSERVATIONS!$U$35-2451545)))</f>
        <v>6.6308035321601082</v>
      </c>
      <c r="H32" s="9">
        <f>9.4*COS(RADIANS(125-0.05295*(OBSERVATIONS!$U$35-2451545)))+0.7*COS(RADIANS(200+1.97129*(OBSERVATIONS!$U$35-2451545)))</f>
        <v>-7.9109288482141293</v>
      </c>
      <c r="I32" s="10">
        <f t="shared" si="0"/>
        <v>33.717598190941196</v>
      </c>
      <c r="J32" s="10">
        <f t="shared" si="1"/>
        <v>9.9595993244110499</v>
      </c>
      <c r="L32" s="11"/>
      <c r="N32" s="4"/>
      <c r="O32" s="15" t="s">
        <v>41</v>
      </c>
      <c r="P32" s="4">
        <v>0</v>
      </c>
      <c r="Q32" s="4"/>
      <c r="R32" s="4"/>
      <c r="S32" s="4"/>
      <c r="T32" s="4"/>
      <c r="U32" s="4"/>
      <c r="V32" s="4"/>
      <c r="W32" s="4"/>
      <c r="X32" s="4"/>
      <c r="Y32" s="4">
        <f>MOD(V$4+OBSERVATIONS!$AO$13+I27,360)</f>
        <v>346.87510449662653</v>
      </c>
      <c r="Z32" s="4">
        <f t="shared" si="6"/>
        <v>13.124895503373466</v>
      </c>
      <c r="AA32" s="4">
        <f t="shared" si="14"/>
        <v>14.468357790436295</v>
      </c>
      <c r="AB32" s="4">
        <f t="shared" si="7"/>
        <v>0</v>
      </c>
      <c r="AC32" s="4">
        <f>ABS(TAN(RADIANS(ABS(OBSERVATIONS!$AO$12)))/TAN(RADIANS(ABS(Z32))))</f>
        <v>1.6210307517692415</v>
      </c>
      <c r="AD32" s="4">
        <f>IF(AB32=0,IF(OBSERVATIONS!$AY$35="N",-AC32,AC32),IF(OBSERVATIONS!$AY$35="N",AC32,-AC32))</f>
        <v>-1.6210307517692415</v>
      </c>
      <c r="AE32" s="4">
        <f t="shared" si="8"/>
        <v>1.1363164324213124</v>
      </c>
      <c r="AF32" s="4">
        <f t="shared" si="9"/>
        <v>-0.48471431934792908</v>
      </c>
      <c r="AG32" s="4">
        <f>ABS(DEGREES(ATAN(1/(COS(RADIANS(ABS(OBSERVATIONS!$AO$12)))*AF32))))</f>
        <v>65.610072467811378</v>
      </c>
      <c r="AH32" s="4">
        <f t="shared" si="10"/>
        <v>114.38992753218862</v>
      </c>
      <c r="AI32" s="4">
        <f>AA32-OBSERVATIONS!$AO$12</f>
        <v>-6.2366422095637031</v>
      </c>
      <c r="AJ32" s="12">
        <f>DEGREES(ASIN(SIN(RADIANS(OBSERVATIONS!$AO$12))*SIN(RADIANS(AA32))+COS(RADIANS(OBSERVATIONS!$AO$12))*COS(RADIANS(AA32))*COS(RADIANS(Y32))))</f>
        <v>76.029750631179354</v>
      </c>
      <c r="AK32" s="12">
        <f t="shared" si="11"/>
        <v>76.029750631179354</v>
      </c>
      <c r="AL32" s="8" t="s">
        <v>41</v>
      </c>
      <c r="AM32" s="12">
        <f t="shared" si="12"/>
        <v>114.38992753218862</v>
      </c>
      <c r="AN32" s="12">
        <f t="shared" si="13"/>
        <v>76.029750631179354</v>
      </c>
      <c r="AO32" s="12"/>
      <c r="AP32" s="12"/>
      <c r="AQ32" s="12"/>
      <c r="AR32" s="12"/>
      <c r="AS32" s="4"/>
      <c r="AT32" s="12"/>
      <c r="AU32" s="13"/>
      <c r="AV32" s="12"/>
      <c r="AW32" s="4"/>
      <c r="AX32" s="12"/>
      <c r="AY32" s="4"/>
      <c r="AZ32" s="4"/>
      <c r="BA32" s="4"/>
      <c r="BB32" s="4"/>
      <c r="BC32" s="4"/>
      <c r="BD32" s="10"/>
      <c r="BF32" s="10"/>
      <c r="BH32" s="10"/>
      <c r="BI32" s="10"/>
      <c r="BJ32" s="10"/>
      <c r="BK32" s="10"/>
      <c r="BL32" s="10"/>
      <c r="BN32" s="10"/>
      <c r="BO32" s="10"/>
      <c r="BP32" s="10"/>
      <c r="BQ32" s="10"/>
      <c r="BX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L32" s="10"/>
      <c r="CM32" s="10"/>
      <c r="CN32" s="10"/>
      <c r="CO32" s="10"/>
      <c r="CP32" s="10"/>
      <c r="CR32" s="10"/>
      <c r="CS32" s="10"/>
      <c r="CT32" s="10"/>
      <c r="CU32" s="10"/>
      <c r="CV32" s="10"/>
      <c r="CW32" s="4"/>
      <c r="CX32" s="4"/>
      <c r="CY32" s="12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</row>
    <row r="33" spans="2:171" s="1" customFormat="1" ht="15" customHeight="1">
      <c r="B33" s="8" t="s">
        <v>47</v>
      </c>
      <c r="C33" s="1">
        <f>(22+57/60+37/3600)</f>
        <v>22.960277777777776</v>
      </c>
      <c r="D33" s="1">
        <f>-29-37.6/60</f>
        <v>-29.626666666666665</v>
      </c>
      <c r="E33" s="9">
        <f>MOD(360-(C33+((3.075+1.336*SIN(RADIANS(C33))*TAN(RADIANS(D33)))*(OBSERVATIONS!$U$35-36526)/365)/3600)*15,360)</f>
        <v>15.383186686853833</v>
      </c>
      <c r="F33" s="9">
        <f>D33+(20.04*COS(RADIANS(C33*15))*(OBSERVATIONS!$U$35-36526)/365)/3600</f>
        <v>-29.5281874081777</v>
      </c>
      <c r="G33" s="9">
        <f>-17.3*SIN(RADIANS(125-0.05295*(OBSERVATIONS!$U$35-2451545)))-1.4*SIN(RADIANS(200+1.97129*(OBSERVATIONS!$U$35-2451545)))</f>
        <v>6.6308035321601082</v>
      </c>
      <c r="H33" s="9">
        <f>9.4*COS(RADIANS(125-0.05295*(OBSERVATIONS!$U$35-2451545)))+0.7*COS(RADIANS(200+1.97129*(OBSERVATIONS!$U$35-2451545)))</f>
        <v>-7.9109288482141293</v>
      </c>
      <c r="I33" s="10">
        <f t="shared" si="0"/>
        <v>15.382438113140728</v>
      </c>
      <c r="J33" s="10">
        <f t="shared" si="1"/>
        <v>-29.5283389023453</v>
      </c>
      <c r="L33" s="11"/>
      <c r="N33" s="4"/>
      <c r="O33" s="15" t="s">
        <v>42</v>
      </c>
      <c r="P33" s="4">
        <v>0</v>
      </c>
      <c r="Q33" s="4"/>
      <c r="R33" s="4"/>
      <c r="S33" s="4"/>
      <c r="T33" s="4"/>
      <c r="U33" s="4"/>
      <c r="V33" s="4"/>
      <c r="W33" s="4"/>
      <c r="X33" s="4"/>
      <c r="Y33" s="4">
        <f>MOD(V$4+OBSERVATIONS!$AO$13+I28,360)</f>
        <v>153.25109861227907</v>
      </c>
      <c r="Z33" s="4">
        <f t="shared" si="6"/>
        <v>153.25109861227907</v>
      </c>
      <c r="AA33" s="4">
        <f t="shared" si="14"/>
        <v>-17.888906486195705</v>
      </c>
      <c r="AB33" s="4">
        <f t="shared" si="7"/>
        <v>1</v>
      </c>
      <c r="AC33" s="4">
        <f>ABS(TAN(RADIANS(ABS(OBSERVATIONS!$AO$12)))/TAN(RADIANS(ABS(Z33))))</f>
        <v>0.74991102544880339</v>
      </c>
      <c r="AD33" s="4">
        <f>IF(AB33=0,IF(OBSERVATIONS!$AY$35="N",-AC33,AC33),IF(OBSERVATIONS!$AY$35="N",AC33,-AC33))</f>
        <v>0.74991102544880339</v>
      </c>
      <c r="AE33" s="4">
        <f t="shared" si="8"/>
        <v>-0.71715350562933633</v>
      </c>
      <c r="AF33" s="4">
        <f t="shared" si="9"/>
        <v>3.2757519819467062E-2</v>
      </c>
      <c r="AG33" s="4">
        <f>ABS(DEGREES(ATAN(1/(COS(RADIANS(ABS(OBSERVATIONS!$AO$12)))*AF33))))</f>
        <v>88.244902439341132</v>
      </c>
      <c r="AH33" s="4">
        <f t="shared" si="10"/>
        <v>271.7550975606589</v>
      </c>
      <c r="AI33" s="4">
        <f>AA33-OBSERVATIONS!$AO$12</f>
        <v>-38.593906486195706</v>
      </c>
      <c r="AJ33" s="12">
        <f>DEGREES(ASIN(SIN(RADIANS(OBSERVATIONS!$AO$12))*SIN(RADIANS(AA33))+COS(RADIANS(OBSERVATIONS!$AO$12))*COS(RADIANS(AA33))*COS(RADIANS(Y33))))</f>
        <v>-64.62615824576757</v>
      </c>
      <c r="AK33" s="12">
        <f t="shared" si="11"/>
        <v>-64.62615824576757</v>
      </c>
      <c r="AL33" s="8" t="s">
        <v>42</v>
      </c>
      <c r="AM33" s="12">
        <f t="shared" si="12"/>
        <v>271.7550975606589</v>
      </c>
      <c r="AN33" s="12">
        <f t="shared" si="13"/>
        <v>-64.62615824576757</v>
      </c>
      <c r="AO33" s="12"/>
      <c r="AP33" s="12"/>
      <c r="AQ33" s="12"/>
      <c r="AR33" s="12"/>
      <c r="AS33" s="4"/>
      <c r="AT33" s="12"/>
      <c r="AU33" s="13"/>
      <c r="AV33" s="12"/>
      <c r="AW33" s="4"/>
      <c r="AX33" s="12"/>
      <c r="AY33" s="4"/>
      <c r="AZ33" s="4"/>
      <c r="BA33" s="4"/>
      <c r="BB33" s="4"/>
      <c r="BC33" s="4"/>
      <c r="BD33" s="10"/>
      <c r="BF33" s="10"/>
      <c r="BH33" s="10"/>
      <c r="BI33" s="10"/>
      <c r="BJ33" s="10"/>
      <c r="BK33" s="10"/>
      <c r="BL33" s="10"/>
      <c r="BN33" s="10"/>
      <c r="BO33" s="10"/>
      <c r="BP33" s="10"/>
      <c r="BQ33" s="10"/>
      <c r="BX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L33" s="10"/>
      <c r="CM33" s="10"/>
      <c r="CN33" s="10"/>
      <c r="CO33" s="10"/>
      <c r="CP33" s="10"/>
      <c r="CR33" s="10"/>
      <c r="CS33" s="10"/>
      <c r="CT33" s="10"/>
      <c r="CU33" s="10"/>
      <c r="CV33" s="10"/>
      <c r="CW33" s="4"/>
      <c r="CX33" s="4"/>
      <c r="CY33" s="12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</row>
    <row r="34" spans="2:171" s="1" customFormat="1" ht="15" customHeight="1">
      <c r="B34" s="8" t="s">
        <v>48</v>
      </c>
      <c r="C34" s="1">
        <f>(12+31/60+10/3600)</f>
        <v>12.519444444444446</v>
      </c>
      <c r="D34" s="1">
        <f>-57-6.4/60</f>
        <v>-57.106666666666669</v>
      </c>
      <c r="E34" s="9">
        <f>MOD(360-(C34+((3.075+1.336*SIN(RADIANS(C34))*TAN(RADIANS(D34)))*(OBSERVATIONS!$U$35-36526)/365)/3600)*15,360)</f>
        <v>172.00727278818607</v>
      </c>
      <c r="F34" s="9">
        <f>D34+(20.04*COS(RADIANS(C34*15))*(OBSERVATIONS!$U$35-36526)/365)/3600</f>
        <v>-57.207966362165749</v>
      </c>
      <c r="G34" s="9">
        <f>-17.3*SIN(RADIANS(125-0.05295*(OBSERVATIONS!$U$35-2451545)))-1.4*SIN(RADIANS(200+1.97129*(OBSERVATIONS!$U$35-2451545)))</f>
        <v>6.6308035321601082</v>
      </c>
      <c r="H34" s="9">
        <f>9.4*COS(RADIANS(125-0.05295*(OBSERVATIONS!$U$35-2451545)))+0.7*COS(RADIANS(200+1.97129*(OBSERVATIONS!$U$35-2451545)))</f>
        <v>-7.9109288482141293</v>
      </c>
      <c r="I34" s="10">
        <f t="shared" si="0"/>
        <v>172.01158088166051</v>
      </c>
      <c r="J34" s="10">
        <f t="shared" si="1"/>
        <v>-57.209168651145809</v>
      </c>
      <c r="L34" s="11"/>
      <c r="N34" s="4"/>
      <c r="O34" s="15" t="s">
        <v>43</v>
      </c>
      <c r="P34" s="4">
        <v>0</v>
      </c>
      <c r="Q34" s="4"/>
      <c r="R34" s="4"/>
      <c r="S34" s="4"/>
      <c r="T34" s="4"/>
      <c r="U34" s="4"/>
      <c r="V34" s="4"/>
      <c r="W34" s="4"/>
      <c r="X34" s="4"/>
      <c r="Y34" s="4">
        <f>MOD(V$4+OBSERVATIONS!$AO$13+I29,360)</f>
        <v>358.17288118703618</v>
      </c>
      <c r="Z34" s="4">
        <f t="shared" si="6"/>
        <v>1.8271188129638176</v>
      </c>
      <c r="AA34" s="4">
        <f t="shared" si="14"/>
        <v>61.646358391642799</v>
      </c>
      <c r="AB34" s="4">
        <f t="shared" si="7"/>
        <v>0</v>
      </c>
      <c r="AC34" s="4">
        <f>ABS(TAN(RADIANS(ABS(OBSERVATIONS!$AO$12)))/TAN(RADIANS(ABS(Z34))))</f>
        <v>11.848514485542054</v>
      </c>
      <c r="AD34" s="4">
        <f>IF(AB34=0,IF(OBSERVATIONS!$AY$35="N",-AC34,AC34),IF(OBSERVATIONS!$AY$35="N",AC34,-AC34))</f>
        <v>-11.848514485542054</v>
      </c>
      <c r="AE34" s="4">
        <f t="shared" si="8"/>
        <v>58.118584471586004</v>
      </c>
      <c r="AF34" s="4">
        <f t="shared" si="9"/>
        <v>46.27006998604395</v>
      </c>
      <c r="AG34" s="4">
        <f>ABS(DEGREES(ATAN(1/(COS(RADIANS(ABS(OBSERVATIONS!$AO$12)))*AF34))))</f>
        <v>1.3235542006016421</v>
      </c>
      <c r="AH34" s="4">
        <f t="shared" si="10"/>
        <v>1.3235542006016421</v>
      </c>
      <c r="AI34" s="4">
        <f>AA34-OBSERVATIONS!$AO$12</f>
        <v>40.941358391642801</v>
      </c>
      <c r="AJ34" s="12">
        <f>DEGREES(ASIN(SIN(RADIANS(OBSERVATIONS!$AO$12))*SIN(RADIANS(AA34))+COS(RADIANS(OBSERVATIONS!$AO$12))*COS(RADIANS(AA34))*COS(RADIANS(Y34))))</f>
        <v>49.038897215920727</v>
      </c>
      <c r="AK34" s="12">
        <f t="shared" si="11"/>
        <v>49.038897215920727</v>
      </c>
      <c r="AL34" s="8" t="s">
        <v>43</v>
      </c>
      <c r="AM34" s="12">
        <f t="shared" si="12"/>
        <v>1.3235542006016421</v>
      </c>
      <c r="AN34" s="12">
        <f t="shared" si="13"/>
        <v>49.038897215920727</v>
      </c>
      <c r="AO34" s="12"/>
      <c r="AP34" s="12"/>
      <c r="AQ34" s="12"/>
      <c r="AR34" s="12"/>
      <c r="AS34" s="4"/>
      <c r="AT34" s="12"/>
      <c r="AU34" s="13"/>
      <c r="AV34" s="12"/>
      <c r="AW34" s="4"/>
      <c r="AX34" s="12"/>
      <c r="AY34" s="4"/>
      <c r="AZ34" s="4"/>
      <c r="BA34" s="4"/>
      <c r="BB34" s="4"/>
      <c r="BC34" s="4"/>
      <c r="BD34" s="10"/>
      <c r="BF34" s="10"/>
      <c r="BH34" s="10"/>
      <c r="BI34" s="10"/>
      <c r="BJ34" s="10"/>
      <c r="BK34" s="10"/>
      <c r="BL34" s="10"/>
      <c r="BN34" s="10"/>
      <c r="BO34" s="10"/>
      <c r="BP34" s="10"/>
      <c r="BQ34" s="10"/>
      <c r="BX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L34" s="10"/>
      <c r="CM34" s="10"/>
      <c r="CN34" s="10"/>
      <c r="CO34" s="10"/>
      <c r="CP34" s="10"/>
      <c r="CR34" s="10"/>
      <c r="CS34" s="10"/>
      <c r="CT34" s="10"/>
      <c r="CU34" s="10"/>
      <c r="CV34" s="10"/>
      <c r="CW34" s="4"/>
      <c r="CX34" s="4"/>
      <c r="CY34" s="12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</row>
    <row r="35" spans="2:171" s="1" customFormat="1" ht="15" customHeight="1">
      <c r="B35" s="8" t="s">
        <v>49</v>
      </c>
      <c r="C35" s="1">
        <f>(12+15/60+48/3600)</f>
        <v>12.263333333333334</v>
      </c>
      <c r="D35" s="1">
        <f>-17-32.3/60</f>
        <v>-17.538333333333334</v>
      </c>
      <c r="E35" s="9">
        <f>MOD(360-(C35+((3.075+1.336*SIN(RADIANS(C35))*TAN(RADIANS(D35)))*(OBSERVATIONS!$U$35-36526)/365)/3600)*15,360)</f>
        <v>175.82153457656636</v>
      </c>
      <c r="F35" s="9">
        <f>D35+(20.04*COS(RADIANS(C35*15))*(OBSERVATIONS!$U$35-36526)/365)/3600</f>
        <v>-17.640334111044893</v>
      </c>
      <c r="G35" s="9">
        <f>-17.3*SIN(RADIANS(125-0.05295*(OBSERVATIONS!$U$35-2451545)))-1.4*SIN(RADIANS(200+1.97129*(OBSERVATIONS!$U$35-2451545)))</f>
        <v>6.6308035321601082</v>
      </c>
      <c r="H35" s="9">
        <f>9.4*COS(RADIANS(125-0.05295*(OBSERVATIONS!$U$35-2451545)))+0.7*COS(RADIANS(200+1.97129*(OBSERVATIONS!$U$35-2451545)))</f>
        <v>-7.9109288482141293</v>
      </c>
      <c r="I35" s="10">
        <f t="shared" si="0"/>
        <v>175.82185998942421</v>
      </c>
      <c r="J35" s="10">
        <f t="shared" si="1"/>
        <v>-17.641531830291644</v>
      </c>
      <c r="L35" s="11"/>
      <c r="N35" s="4"/>
      <c r="O35" s="15" t="s">
        <v>44</v>
      </c>
      <c r="P35" s="4">
        <v>0</v>
      </c>
      <c r="Q35" s="4"/>
      <c r="R35" s="4"/>
      <c r="S35" s="4"/>
      <c r="T35" s="4"/>
      <c r="U35" s="4"/>
      <c r="V35" s="4"/>
      <c r="W35" s="4"/>
      <c r="X35" s="4"/>
      <c r="Y35" s="4">
        <f>MOD(V$4+OBSERVATIONS!$AO$13+I30,360)</f>
        <v>82.56349483415346</v>
      </c>
      <c r="Z35" s="4">
        <f t="shared" si="6"/>
        <v>82.56349483415346</v>
      </c>
      <c r="AA35" s="4">
        <f t="shared" si="14"/>
        <v>28.621545948400378</v>
      </c>
      <c r="AB35" s="4">
        <f t="shared" si="7"/>
        <v>0</v>
      </c>
      <c r="AC35" s="4">
        <f>ABS(TAN(RADIANS(ABS(OBSERVATIONS!$AO$12)))/TAN(RADIANS(ABS(Z35))))</f>
        <v>4.9334403050074492E-2</v>
      </c>
      <c r="AD35" s="4">
        <f>IF(AB35=0,IF(OBSERVATIONS!$AY$35="N",-AC35,AC35),IF(OBSERVATIONS!$AY$35="N",AC35,-AC35))</f>
        <v>-4.9334403050074492E-2</v>
      </c>
      <c r="AE35" s="4">
        <f t="shared" si="8"/>
        <v>0.55033455044607671</v>
      </c>
      <c r="AF35" s="4">
        <f t="shared" si="9"/>
        <v>0.50100014739600218</v>
      </c>
      <c r="AG35" s="4">
        <f>ABS(DEGREES(ATAN(1/(COS(RADIANS(ABS(OBSERVATIONS!$AO$12)))*AF35))))</f>
        <v>64.890231902216996</v>
      </c>
      <c r="AH35" s="4">
        <f t="shared" si="10"/>
        <v>295.10976809778299</v>
      </c>
      <c r="AI35" s="4">
        <f>AA35-OBSERVATIONS!$AO$12</f>
        <v>7.9165459484003797</v>
      </c>
      <c r="AJ35" s="12">
        <f>DEGREES(ASIN(SIN(RADIANS(OBSERVATIONS!$AO$12))*SIN(RADIANS(AA35))+COS(RADIANS(OBSERVATIONS!$AO$12))*COS(RADIANS(AA35))*COS(RADIANS(Y35))))</f>
        <v>15.999874531214072</v>
      </c>
      <c r="AK35" s="12">
        <f t="shared" si="11"/>
        <v>15.999874531214072</v>
      </c>
      <c r="AL35" s="8" t="s">
        <v>44</v>
      </c>
      <c r="AM35" s="12">
        <f t="shared" si="12"/>
        <v>295.10976809778299</v>
      </c>
      <c r="AN35" s="12">
        <f t="shared" si="13"/>
        <v>15.999874531214072</v>
      </c>
      <c r="AO35" s="12"/>
      <c r="AP35" s="12"/>
      <c r="AQ35" s="12"/>
      <c r="AR35" s="12"/>
      <c r="AS35" s="4"/>
      <c r="AT35" s="12"/>
      <c r="AU35" s="13"/>
      <c r="AV35" s="12"/>
      <c r="AW35" s="4"/>
      <c r="AX35" s="12"/>
      <c r="AY35" s="4"/>
      <c r="AZ35" s="4"/>
      <c r="BA35" s="4"/>
      <c r="BB35" s="4"/>
      <c r="BC35" s="4"/>
      <c r="BD35" s="10"/>
      <c r="BF35" s="10"/>
      <c r="BH35" s="10"/>
      <c r="BI35" s="10"/>
      <c r="BJ35" s="10"/>
      <c r="BK35" s="10"/>
      <c r="BL35" s="10"/>
      <c r="BN35" s="10"/>
      <c r="BO35" s="10"/>
      <c r="BP35" s="10"/>
      <c r="BQ35" s="10"/>
      <c r="BX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L35" s="10"/>
      <c r="CM35" s="10"/>
      <c r="CN35" s="10"/>
      <c r="CO35" s="10"/>
      <c r="CP35" s="10"/>
      <c r="CR35" s="10"/>
      <c r="CS35" s="10"/>
      <c r="CT35" s="10"/>
      <c r="CU35" s="10"/>
      <c r="CV35" s="10"/>
      <c r="CW35" s="4"/>
      <c r="CX35" s="4"/>
      <c r="CY35" s="12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</row>
    <row r="36" spans="2:171" s="1" customFormat="1" ht="15" customHeight="1">
      <c r="B36" s="8" t="s">
        <v>50</v>
      </c>
      <c r="C36" s="1">
        <f>(14+3/60+48/3600)</f>
        <v>14.063333333333334</v>
      </c>
      <c r="D36" s="1">
        <f>-60-22/60</f>
        <v>-60.366666666666667</v>
      </c>
      <c r="E36" s="9">
        <f>MOD(360-(C36+((3.075+1.336*SIN(RADIANS(C36))*TAN(RADIANS(D36)))*(OBSERVATIONS!$U$35-36526)/365)/3600)*15,360)</f>
        <v>148.85834649739346</v>
      </c>
      <c r="F36" s="9">
        <f>D36+(20.04*COS(RADIANS(C36*15))*(OBSERVATIONS!$U$35-36526)/365)/3600</f>
        <v>-60.454352503291652</v>
      </c>
      <c r="G36" s="9">
        <f>-17.3*SIN(RADIANS(125-0.05295*(OBSERVATIONS!$U$35-2451545)))-1.4*SIN(RADIANS(200+1.97129*(OBSERVATIONS!$U$35-2451545)))</f>
        <v>6.6308035321601082</v>
      </c>
      <c r="H36" s="9">
        <f>9.4*COS(RADIANS(125-0.05295*(OBSERVATIONS!$U$35-2451545)))+0.7*COS(RADIANS(200+1.97129*(OBSERVATIONS!$U$35-2451545)))</f>
        <v>-7.9109288482141293</v>
      </c>
      <c r="I36" s="10">
        <f t="shared" ref="I36:I60" si="15">E36+(0.9175+0.3978*SIN(RADIANS(C36*15)*TAN(RADIANS(D36)))*G36-COS(RADIANS(C36*15))*TAN(RADIANS(D36))*H36)/3600</f>
        <v>148.86177660126808</v>
      </c>
      <c r="J36" s="10">
        <f t="shared" ref="J36:J60" si="16">F36+(0.3978*COS(RADIANS(C36*15))*G36+SIN(RADIANS(C36))*H36)/3600</f>
        <v>-60.45551485724652</v>
      </c>
      <c r="L36" s="11"/>
      <c r="N36" s="4"/>
      <c r="O36" s="15" t="s">
        <v>45</v>
      </c>
      <c r="P36" s="4">
        <v>0</v>
      </c>
      <c r="Q36" s="4"/>
      <c r="R36" s="4"/>
      <c r="S36" s="4"/>
      <c r="T36" s="4"/>
      <c r="U36" s="4"/>
      <c r="V36" s="4"/>
      <c r="W36" s="4"/>
      <c r="X36" s="4"/>
      <c r="Y36" s="4">
        <f>MOD(V$4+OBSERVATIONS!$AO$13+I31,360)</f>
        <v>254.96152877471599</v>
      </c>
      <c r="Z36" s="4">
        <f t="shared" si="6"/>
        <v>105.03847122528401</v>
      </c>
      <c r="AA36" s="4">
        <f t="shared" si="14"/>
        <v>51.486113757570052</v>
      </c>
      <c r="AB36" s="4">
        <f t="shared" si="7"/>
        <v>1</v>
      </c>
      <c r="AC36" s="4">
        <f>ABS(TAN(RADIANS(ABS(OBSERVATIONS!$AO$12)))/TAN(RADIANS(ABS(Z36))))</f>
        <v>0.10154834181595145</v>
      </c>
      <c r="AD36" s="4">
        <f>IF(AB36=0,IF(OBSERVATIONS!$AY$35="N",-AC36,AC36),IF(OBSERVATIONS!$AY$35="N",AC36,-AC36))</f>
        <v>0.10154834181595145</v>
      </c>
      <c r="AE36" s="4">
        <f t="shared" si="8"/>
        <v>1.3011076448561636</v>
      </c>
      <c r="AF36" s="4">
        <f t="shared" si="9"/>
        <v>1.4026559866721151</v>
      </c>
      <c r="AG36" s="4">
        <f>ABS(DEGREES(ATAN(1/(COS(RADIANS(ABS(OBSERVATIONS!$AO$12)))*AF36))))</f>
        <v>37.313148622982489</v>
      </c>
      <c r="AH36" s="4">
        <f t="shared" si="10"/>
        <v>37.313148622982489</v>
      </c>
      <c r="AI36" s="4">
        <f>AA36-OBSERVATIONS!$AO$12</f>
        <v>30.781113757570054</v>
      </c>
      <c r="AJ36" s="12">
        <f>DEGREES(ASIN(SIN(RADIANS(OBSERVATIONS!$AO$12))*SIN(RADIANS(AA36))+COS(RADIANS(OBSERVATIONS!$AO$12))*COS(RADIANS(AA36))*COS(RADIANS(Y36))))</f>
        <v>7.2100158643370929</v>
      </c>
      <c r="AK36" s="12">
        <f t="shared" si="11"/>
        <v>7.2100158643370929</v>
      </c>
      <c r="AL36" s="8" t="s">
        <v>45</v>
      </c>
      <c r="AM36" s="12">
        <f t="shared" si="12"/>
        <v>37.313148622982489</v>
      </c>
      <c r="AN36" s="12">
        <f t="shared" si="13"/>
        <v>7.2100158643370929</v>
      </c>
      <c r="AO36" s="12"/>
      <c r="AP36" s="12"/>
      <c r="AQ36" s="12"/>
      <c r="AR36" s="12"/>
      <c r="AS36" s="4"/>
      <c r="AT36" s="12"/>
      <c r="AU36" s="13"/>
      <c r="AV36" s="12"/>
      <c r="AW36" s="4"/>
      <c r="AX36" s="12"/>
      <c r="AY36" s="4"/>
      <c r="AZ36" s="4"/>
      <c r="BA36" s="4"/>
      <c r="BB36" s="4"/>
      <c r="BC36" s="4"/>
      <c r="BD36" s="10"/>
      <c r="BF36" s="10"/>
      <c r="BH36" s="10"/>
      <c r="BI36" s="10"/>
      <c r="BJ36" s="10"/>
      <c r="BK36" s="10"/>
      <c r="BL36" s="10"/>
      <c r="BN36" s="10"/>
      <c r="BO36" s="10"/>
      <c r="BP36" s="10"/>
      <c r="BQ36" s="10"/>
      <c r="BX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L36" s="10"/>
      <c r="CM36" s="10"/>
      <c r="CN36" s="10"/>
      <c r="CO36" s="10"/>
      <c r="CP36" s="10"/>
      <c r="CR36" s="10"/>
      <c r="CS36" s="10"/>
      <c r="CT36" s="10"/>
      <c r="CU36" s="10"/>
      <c r="CV36" s="10"/>
      <c r="CW36" s="4"/>
      <c r="CX36" s="4"/>
      <c r="CY36" s="12"/>
      <c r="CZ36" s="4"/>
      <c r="DA36" s="4"/>
      <c r="DB36" s="4"/>
      <c r="DC36" s="4"/>
      <c r="DD36" s="6"/>
      <c r="DE36" s="6"/>
      <c r="DF36" s="6"/>
      <c r="DG36" s="1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</row>
    <row r="37" spans="2:171" s="1" customFormat="1" ht="15" customHeight="1">
      <c r="B37" s="8" t="s">
        <v>51</v>
      </c>
      <c r="C37" s="1">
        <f>(2+7/60+10/3600)</f>
        <v>2.1194444444444445</v>
      </c>
      <c r="D37" s="1">
        <f>23+27.8/60</f>
        <v>23.463333333333335</v>
      </c>
      <c r="E37" s="9">
        <f>MOD(360-(C37+((3.075+1.336*SIN(RADIANS(C37))*TAN(RADIANS(D37)))*(OBSERVATIONS!$U$35-36526)/365)/3600)*15,360)</f>
        <v>327.9713633034479</v>
      </c>
      <c r="F37" s="9">
        <f>D37+(20.04*COS(RADIANS(C37*15))*(OBSERVATIONS!$U$35-36526)/365)/3600</f>
        <v>23.550237302196823</v>
      </c>
      <c r="G37" s="9">
        <f>-17.3*SIN(RADIANS(125-0.05295*(OBSERVATIONS!$U$35-2451545)))-1.4*SIN(RADIANS(200+1.97129*(OBSERVATIONS!$U$35-2451545)))</f>
        <v>6.6308035321601082</v>
      </c>
      <c r="H37" s="9">
        <f>9.4*COS(RADIANS(125-0.05295*(OBSERVATIONS!$U$35-2451545)))+0.7*COS(RADIANS(200+1.97129*(OBSERVATIONS!$U$35-2451545)))</f>
        <v>-7.9109288482141293</v>
      </c>
      <c r="I37" s="10">
        <f t="shared" si="15"/>
        <v>327.97260364696535</v>
      </c>
      <c r="J37" s="10">
        <f t="shared" si="16"/>
        <v>23.550778808865999</v>
      </c>
      <c r="L37" s="11"/>
      <c r="N37" s="4"/>
      <c r="O37" s="15" t="s">
        <v>46</v>
      </c>
      <c r="P37" s="4">
        <v>0</v>
      </c>
      <c r="Q37" s="4"/>
      <c r="R37" s="4"/>
      <c r="S37" s="4"/>
      <c r="T37" s="4"/>
      <c r="U37" s="4"/>
      <c r="V37" s="4"/>
      <c r="W37" s="4"/>
      <c r="X37" s="4"/>
      <c r="Y37" s="4">
        <f>MOD(V$4+OBSERVATIONS!$AO$13+I32,360)</f>
        <v>198.09576255347571</v>
      </c>
      <c r="Z37" s="4">
        <f t="shared" si="6"/>
        <v>161.90423744652429</v>
      </c>
      <c r="AA37" s="4">
        <f t="shared" si="14"/>
        <v>9.9595993244110499</v>
      </c>
      <c r="AB37" s="4">
        <f t="shared" si="7"/>
        <v>1</v>
      </c>
      <c r="AC37" s="4">
        <f>ABS(TAN(RADIANS(ABS(OBSERVATIONS!$AO$12)))/TAN(RADIANS(ABS(Z37))))</f>
        <v>1.1566849699839528</v>
      </c>
      <c r="AD37" s="4">
        <f>IF(AB37=0,IF(OBSERVATIONS!$AY$35="N",-AC37,AC37),IF(OBSERVATIONS!$AY$35="N",AC37,-AC37))</f>
        <v>1.1566849699839528</v>
      </c>
      <c r="AE37" s="4">
        <f t="shared" si="8"/>
        <v>0.56534628712485779</v>
      </c>
      <c r="AF37" s="4">
        <f t="shared" si="9"/>
        <v>1.7220312571088106</v>
      </c>
      <c r="AG37" s="4">
        <f>ABS(DEGREES(ATAN(1/(COS(RADIANS(ABS(OBSERVATIONS!$AO$12)))*AF37))))</f>
        <v>31.832233590708693</v>
      </c>
      <c r="AH37" s="4">
        <f t="shared" si="10"/>
        <v>31.832233590708693</v>
      </c>
      <c r="AI37" s="4">
        <f>AA37-OBSERVATIONS!$AO$12</f>
        <v>-10.745400675588948</v>
      </c>
      <c r="AJ37" s="12">
        <f>DEGREES(ASIN(SIN(RADIANS(OBSERVATIONS!$AO$12))*SIN(RADIANS(AA37))+COS(RADIANS(OBSERVATIONS!$AO$12))*COS(RADIANS(AA37))*COS(RADIANS(Y37))))</f>
        <v>-54.54763698510569</v>
      </c>
      <c r="AK37" s="12">
        <f t="shared" si="11"/>
        <v>-54.54763698510569</v>
      </c>
      <c r="AL37" s="8" t="s">
        <v>46</v>
      </c>
      <c r="AM37" s="12">
        <f t="shared" si="12"/>
        <v>31.832233590708693</v>
      </c>
      <c r="AN37" s="12">
        <f t="shared" si="13"/>
        <v>-54.54763698510569</v>
      </c>
      <c r="AO37" s="12"/>
      <c r="AP37" s="12"/>
      <c r="AQ37" s="12"/>
      <c r="AR37" s="12"/>
      <c r="AS37" s="4"/>
      <c r="AT37" s="12"/>
      <c r="AU37" s="13"/>
      <c r="AV37" s="12"/>
      <c r="AW37" s="4"/>
      <c r="AX37" s="12"/>
      <c r="AY37" s="4"/>
      <c r="AZ37" s="4"/>
      <c r="BA37" s="4"/>
      <c r="BB37" s="4"/>
      <c r="BC37" s="4"/>
      <c r="BD37" s="10"/>
      <c r="BF37" s="10"/>
      <c r="BH37" s="10"/>
      <c r="BI37" s="10"/>
      <c r="BJ37" s="10"/>
      <c r="BK37" s="10"/>
      <c r="BL37" s="10"/>
      <c r="BN37" s="10"/>
      <c r="BO37" s="10"/>
      <c r="BP37" s="10"/>
      <c r="BQ37" s="10"/>
      <c r="BX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L37" s="10"/>
      <c r="CM37" s="10"/>
      <c r="CN37" s="10"/>
      <c r="CO37" s="10"/>
      <c r="CP37" s="10"/>
      <c r="CR37" s="10"/>
      <c r="CS37" s="10"/>
      <c r="CT37" s="10"/>
      <c r="CU37" s="10"/>
      <c r="CV37" s="10"/>
      <c r="CW37" s="4"/>
      <c r="CX37" s="4"/>
      <c r="CY37" s="12"/>
      <c r="CZ37" s="4"/>
      <c r="DA37" s="4"/>
      <c r="DB37" s="4"/>
      <c r="DC37" s="4"/>
      <c r="DD37" s="6"/>
      <c r="DE37" s="6"/>
      <c r="DF37" s="6"/>
      <c r="DG37" s="1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</row>
    <row r="38" spans="2:171" s="1" customFormat="1" ht="15" customHeight="1">
      <c r="B38" s="8" t="s">
        <v>53</v>
      </c>
      <c r="C38" s="1">
        <f>(18+24/60+7/3600)</f>
        <v>18.401944444444442</v>
      </c>
      <c r="D38" s="1">
        <f>-34-23/60</f>
        <v>-34.383333333333333</v>
      </c>
      <c r="E38" s="9">
        <f>MOD(360-(C38+((3.075+1.336*SIN(RADIANS(C38))*TAN(RADIANS(D38)))*(OBSERVATIONS!$U$35-36526)/365)/3600)*15,360)</f>
        <v>83.757590892723101</v>
      </c>
      <c r="F38" s="9">
        <f>D38+(20.04*COS(RADIANS(C38*15))*(OBSERVATIONS!$U$35-36526)/365)/3600</f>
        <v>-34.372594200340913</v>
      </c>
      <c r="G38" s="9">
        <f>-17.3*SIN(RADIANS(125-0.05295*(OBSERVATIONS!$U$35-2451545)))-1.4*SIN(RADIANS(200+1.97129*(OBSERVATIONS!$U$35-2451545)))</f>
        <v>6.6308035321601082</v>
      </c>
      <c r="H38" s="9">
        <f>9.4*COS(RADIANS(125-0.05295*(OBSERVATIONS!$U$35-2451545)))+0.7*COS(RADIANS(200+1.97129*(OBSERVATIONS!$U$35-2451545)))</f>
        <v>-7.9109288482141293</v>
      </c>
      <c r="I38" s="10">
        <f t="shared" si="15"/>
        <v>83.757800956989811</v>
      </c>
      <c r="J38" s="10">
        <f t="shared" si="16"/>
        <v>-34.373210944289681</v>
      </c>
      <c r="L38" s="11"/>
      <c r="N38" s="4"/>
      <c r="O38" s="15" t="s">
        <v>47</v>
      </c>
      <c r="P38" s="4">
        <v>0</v>
      </c>
      <c r="Q38" s="4"/>
      <c r="R38" s="4"/>
      <c r="S38" s="4"/>
      <c r="T38" s="4"/>
      <c r="U38" s="4"/>
      <c r="V38" s="4"/>
      <c r="W38" s="4"/>
      <c r="X38" s="4"/>
      <c r="Y38" s="4">
        <f>MOD(V$4+OBSERVATIONS!$AO$13+I33,360)</f>
        <v>179.76060247567523</v>
      </c>
      <c r="Z38" s="4">
        <f t="shared" si="6"/>
        <v>179.76060247567523</v>
      </c>
      <c r="AA38" s="4">
        <f t="shared" si="14"/>
        <v>-29.5283389023453</v>
      </c>
      <c r="AB38" s="4">
        <f t="shared" si="7"/>
        <v>1</v>
      </c>
      <c r="AC38" s="4">
        <f>ABS(TAN(RADIANS(ABS(OBSERVATIONS!$AO$12)))/TAN(RADIANS(ABS(Z38))))</f>
        <v>90.459828625260414</v>
      </c>
      <c r="AD38" s="4">
        <f>IF(AB38=0,IF(OBSERVATIONS!$AY$35="N",-AC38,AC38),IF(OBSERVATIONS!$AY$35="N",AC38,-AC38))</f>
        <v>90.459828625260414</v>
      </c>
      <c r="AE38" s="4">
        <f t="shared" si="8"/>
        <v>-135.5649249157396</v>
      </c>
      <c r="AF38" s="4">
        <f t="shared" si="9"/>
        <v>-45.105096290479182</v>
      </c>
      <c r="AG38" s="4">
        <f>ABS(DEGREES(ATAN(1/(COS(RADIANS(ABS(OBSERVATIONS!$AO$12)))*AF38))))</f>
        <v>1.3577263021071988</v>
      </c>
      <c r="AH38" s="4">
        <f t="shared" si="10"/>
        <v>181.35772630210721</v>
      </c>
      <c r="AI38" s="4">
        <f>AA38-OBSERVATIONS!$AO$12</f>
        <v>-50.233338902345295</v>
      </c>
      <c r="AJ38" s="12">
        <f>DEGREES(ASIN(SIN(RADIANS(OBSERVATIONS!$AO$12))*SIN(RADIANS(AA38))+COS(RADIANS(OBSERVATIONS!$AO$12))*COS(RADIANS(AA38))*COS(RADIANS(Y38))))</f>
        <v>-81.174007668482773</v>
      </c>
      <c r="AK38" s="12">
        <f t="shared" si="11"/>
        <v>-81.174007668482773</v>
      </c>
      <c r="AL38" s="8" t="s">
        <v>47</v>
      </c>
      <c r="AM38" s="12">
        <f t="shared" si="12"/>
        <v>181.35772630210721</v>
      </c>
      <c r="AN38" s="12">
        <f t="shared" si="13"/>
        <v>-81.174007668482773</v>
      </c>
      <c r="AO38" s="12"/>
      <c r="AP38" s="12"/>
      <c r="AQ38" s="12"/>
      <c r="AR38" s="12"/>
      <c r="AS38" s="4"/>
      <c r="AT38" s="12"/>
      <c r="AU38" s="13"/>
      <c r="AV38" s="12"/>
      <c r="AW38" s="4"/>
      <c r="AX38" s="12"/>
      <c r="AY38" s="4"/>
      <c r="AZ38" s="4"/>
      <c r="BA38" s="4"/>
      <c r="BB38" s="4"/>
      <c r="BC38" s="4"/>
      <c r="BD38" s="10"/>
      <c r="BF38" s="10"/>
      <c r="BH38" s="10"/>
      <c r="BI38" s="10"/>
      <c r="BJ38" s="10"/>
      <c r="BK38" s="10"/>
      <c r="BL38" s="10"/>
      <c r="BN38" s="10"/>
      <c r="BO38" s="10"/>
      <c r="BP38" s="10"/>
      <c r="BQ38" s="10"/>
      <c r="BX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L38" s="10"/>
      <c r="CM38" s="10"/>
      <c r="CN38" s="10"/>
      <c r="CO38" s="10"/>
      <c r="CP38" s="10"/>
      <c r="CR38" s="10"/>
      <c r="CS38" s="10"/>
      <c r="CT38" s="10"/>
      <c r="CU38" s="10"/>
      <c r="CV38" s="10"/>
      <c r="CW38" s="4"/>
      <c r="CX38" s="4"/>
      <c r="CY38" s="12"/>
      <c r="CZ38" s="4"/>
      <c r="DA38" s="4"/>
      <c r="DB38" s="4"/>
      <c r="DC38" s="4"/>
      <c r="DD38" s="6"/>
      <c r="DE38" s="6"/>
      <c r="DF38" s="6"/>
      <c r="DG38" s="1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</row>
    <row r="39" spans="2:171" s="1" customFormat="1" ht="15" customHeight="1">
      <c r="B39" s="8" t="s">
        <v>54</v>
      </c>
      <c r="C39" s="1">
        <f>(14+50/60+39/3600)</f>
        <v>14.844166666666668</v>
      </c>
      <c r="D39" s="1">
        <f>74+9.2/60</f>
        <v>74.153333333333336</v>
      </c>
      <c r="E39" s="9">
        <f>MOD(360-(C39+((3.075+1.336*SIN(RADIANS(C39))*TAN(RADIANS(D39)))*(OBSERVATIONS!$U$35-36526)/365)/3600)*15,360)</f>
        <v>137.00989090207901</v>
      </c>
      <c r="F39" s="9">
        <f>D39+(20.04*COS(RADIANS(C39*15))*(OBSERVATIONS!$U$35-36526)/365)/3600</f>
        <v>74.078147615300793</v>
      </c>
      <c r="G39" s="9">
        <f>-17.3*SIN(RADIANS(125-0.05295*(OBSERVATIONS!$U$35-2451545)))-1.4*SIN(RADIANS(200+1.97129*(OBSERVATIONS!$U$35-2451545)))</f>
        <v>6.6308035321601082</v>
      </c>
      <c r="H39" s="9">
        <f>9.4*COS(RADIANS(125-0.05295*(OBSERVATIONS!$U$35-2451545)))+0.7*COS(RADIANS(200+1.97129*(OBSERVATIONS!$U$35-2451545)))</f>
        <v>-7.9109288482141293</v>
      </c>
      <c r="I39" s="10">
        <f t="shared" si="15"/>
        <v>137.00511383148651</v>
      </c>
      <c r="J39" s="10">
        <f t="shared" si="16"/>
        <v>74.077045840918657</v>
      </c>
      <c r="L39" s="11"/>
      <c r="N39" s="4"/>
      <c r="O39" s="15" t="s">
        <v>48</v>
      </c>
      <c r="P39" s="4">
        <v>0</v>
      </c>
      <c r="Q39" s="4"/>
      <c r="R39" s="4"/>
      <c r="S39" s="4"/>
      <c r="T39" s="4"/>
      <c r="U39" s="4"/>
      <c r="V39" s="4"/>
      <c r="W39" s="4"/>
      <c r="X39" s="4"/>
      <c r="Y39" s="4">
        <f>MOD(V$4+OBSERVATIONS!$AO$13+I34,360)</f>
        <v>336.38974524419501</v>
      </c>
      <c r="Z39" s="4">
        <f t="shared" ref="Z39:Z69" si="17">IF(Y39&gt;180,360-Y39,Y39)</f>
        <v>23.610254755804988</v>
      </c>
      <c r="AA39" s="4">
        <f t="shared" si="14"/>
        <v>-57.209168651145809</v>
      </c>
      <c r="AB39" s="4">
        <f t="shared" ref="AB39:AB69" si="18">IF(Y39&gt;90,IF(Y39&lt;270,1,0),0)</f>
        <v>0</v>
      </c>
      <c r="AC39" s="4">
        <f>ABS(TAN(RADIANS(ABS(OBSERVATIONS!$AO$12)))/TAN(RADIANS(ABS(Z39))))</f>
        <v>0.86471323039681758</v>
      </c>
      <c r="AD39" s="4">
        <f>IF(AB39=0,IF(OBSERVATIONS!$AY$35="N",-AC39,AC39),IF(OBSERVATIONS!$AY$35="N",AC39,-AC39))</f>
        <v>-0.86471323039681758</v>
      </c>
      <c r="AE39" s="4">
        <f t="shared" ref="AE39:AE69" si="19">IF(AA39&gt;0,ABS(TAN(RADIANS(AA39))/SIN(RADIANS(Y39))),-ABS(TAN(RADIANS(AA39))/SIN(RADIANS(Y39))))</f>
        <v>-3.875633439178372</v>
      </c>
      <c r="AF39" s="4">
        <f t="shared" ref="AF39:AF69" si="20">AD39+AE39</f>
        <v>-4.7403466695751897</v>
      </c>
      <c r="AG39" s="4">
        <f>ABS(DEGREES(ATAN(1/(COS(RADIANS(ABS(OBSERVATIONS!$AO$12)))*AF39))))</f>
        <v>12.708776681793461</v>
      </c>
      <c r="AH39" s="4">
        <f t="shared" ref="AH39:AH69" si="21">IF(AF39&lt;0,IF(Y39&lt;180,180+AG39,180-AG39),IF(Y39&lt;180,360-AG39,AG39))</f>
        <v>167.29122331820653</v>
      </c>
      <c r="AI39" s="4">
        <f>AA39-OBSERVATIONS!$AO$12</f>
        <v>-77.914168651145815</v>
      </c>
      <c r="AJ39" s="12">
        <f>DEGREES(ASIN(SIN(RADIANS(OBSERVATIONS!$AO$12))*SIN(RADIANS(AA39))+COS(RADIANS(OBSERVATIONS!$AO$12))*COS(RADIANS(AA39))*COS(RADIANS(Y39))))</f>
        <v>9.611707516447547</v>
      </c>
      <c r="AK39" s="12">
        <f t="shared" ref="AK39:AK69" si="22">AJ39</f>
        <v>9.611707516447547</v>
      </c>
      <c r="AL39" s="8" t="s">
        <v>48</v>
      </c>
      <c r="AM39" s="12">
        <f t="shared" ref="AM39:AM69" si="23">AH39</f>
        <v>167.29122331820653</v>
      </c>
      <c r="AN39" s="12">
        <f t="shared" ref="AN39:AN69" si="24">AJ39</f>
        <v>9.611707516447547</v>
      </c>
      <c r="AO39" s="12"/>
      <c r="AP39" s="12"/>
      <c r="AQ39" s="12"/>
      <c r="AR39" s="12"/>
      <c r="AS39" s="4"/>
      <c r="AT39" s="12"/>
      <c r="AU39" s="13"/>
      <c r="AV39" s="12"/>
      <c r="AW39" s="4"/>
      <c r="AX39" s="12"/>
      <c r="AY39" s="4"/>
      <c r="AZ39" s="4"/>
      <c r="BA39" s="4"/>
      <c r="BB39" s="4"/>
      <c r="BC39" s="4"/>
      <c r="BD39" s="10"/>
      <c r="BF39" s="10"/>
      <c r="BH39" s="10"/>
      <c r="BI39" s="10"/>
      <c r="BJ39" s="10"/>
      <c r="BK39" s="10"/>
      <c r="BL39" s="10"/>
      <c r="BN39" s="10"/>
      <c r="BO39" s="10"/>
      <c r="BP39" s="10"/>
      <c r="BQ39" s="10"/>
      <c r="BX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L39" s="10"/>
      <c r="CM39" s="10"/>
      <c r="CN39" s="10"/>
      <c r="CO39" s="10"/>
      <c r="CP39" s="10"/>
      <c r="CR39" s="10"/>
      <c r="CS39" s="10"/>
      <c r="CT39" s="10"/>
      <c r="CU39" s="10"/>
      <c r="CV39" s="10"/>
      <c r="CW39" s="4"/>
      <c r="CX39" s="4"/>
      <c r="CY39" s="12"/>
      <c r="CZ39" s="4"/>
      <c r="DA39" s="4"/>
      <c r="DB39" s="4"/>
      <c r="DC39" s="4"/>
      <c r="DD39" s="6"/>
      <c r="DE39" s="6"/>
      <c r="DF39" s="6"/>
      <c r="DG39" s="1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</row>
    <row r="40" spans="2:171" s="1" customFormat="1" ht="15" customHeight="1">
      <c r="B40" s="8" t="s">
        <v>55</v>
      </c>
      <c r="C40" s="1">
        <f>(23+4/60+44/3600)</f>
        <v>23.078888888888887</v>
      </c>
      <c r="D40" s="1">
        <f>15+12.3/60</f>
        <v>15.205</v>
      </c>
      <c r="E40" s="9">
        <f>MOD(360-(C40+((3.075+1.336*SIN(RADIANS(C40))*TAN(RADIANS(D40)))*(OBSERVATIONS!$U$35-36526)/365)/3600)*15,360)</f>
        <v>13.570444832022645</v>
      </c>
      <c r="F40" s="9">
        <f>D40+(20.04*COS(RADIANS(C40*15))*(OBSERVATIONS!$U$35-36526)/365)/3600</f>
        <v>15.304285217763287</v>
      </c>
      <c r="G40" s="9">
        <f>-17.3*SIN(RADIANS(125-0.05295*(OBSERVATIONS!$U$35-2451545)))-1.4*SIN(RADIANS(200+1.97129*(OBSERVATIONS!$U$35-2451545)))</f>
        <v>6.6308035321601082</v>
      </c>
      <c r="H40" s="9">
        <f>9.4*COS(RADIANS(125-0.05295*(OBSERVATIONS!$U$35-2451545)))+0.7*COS(RADIANS(200+1.97129*(OBSERVATIONS!$U$35-2451545)))</f>
        <v>-7.9109288482141293</v>
      </c>
      <c r="I40" s="10">
        <f t="shared" si="15"/>
        <v>13.572010499024662</v>
      </c>
      <c r="J40" s="10">
        <f t="shared" si="16"/>
        <v>15.304135312421348</v>
      </c>
      <c r="L40" s="11"/>
      <c r="N40" s="4"/>
      <c r="O40" s="15" t="s">
        <v>49</v>
      </c>
      <c r="P40" s="4">
        <v>0</v>
      </c>
      <c r="Q40" s="4"/>
      <c r="R40" s="4"/>
      <c r="S40" s="4"/>
      <c r="T40" s="4"/>
      <c r="U40" s="4"/>
      <c r="V40" s="4"/>
      <c r="W40" s="4"/>
      <c r="X40" s="4"/>
      <c r="Y40" s="4">
        <f>MOD(V$4+OBSERVATIONS!$AO$13+I35,360)</f>
        <v>340.20002435195875</v>
      </c>
      <c r="Z40" s="4">
        <f t="shared" si="17"/>
        <v>19.799975648041254</v>
      </c>
      <c r="AA40" s="4">
        <f t="shared" si="14"/>
        <v>-17.641531830291644</v>
      </c>
      <c r="AB40" s="4">
        <f t="shared" si="18"/>
        <v>0</v>
      </c>
      <c r="AC40" s="4">
        <f>ABS(TAN(RADIANS(ABS(OBSERVATIONS!$AO$12)))/TAN(RADIANS(ABS(Z40))))</f>
        <v>1.0498485791207866</v>
      </c>
      <c r="AD40" s="4">
        <f>IF(AB40=0,IF(OBSERVATIONS!$AY$35="N",-AC40,AC40),IF(OBSERVATIONS!$AY$35="N",AC40,-AC40))</f>
        <v>-1.0498485791207866</v>
      </c>
      <c r="AE40" s="4">
        <f t="shared" si="19"/>
        <v>-0.93882920848301366</v>
      </c>
      <c r="AF40" s="4">
        <f t="shared" si="20"/>
        <v>-1.9886777876038002</v>
      </c>
      <c r="AG40" s="4">
        <f>ABS(DEGREES(ATAN(1/(COS(RADIANS(ABS(OBSERVATIONS!$AO$12)))*AF40))))</f>
        <v>28.260979897076218</v>
      </c>
      <c r="AH40" s="4">
        <f t="shared" si="21"/>
        <v>151.73902010292377</v>
      </c>
      <c r="AI40" s="4">
        <f>AA40-OBSERVATIONS!$AO$12</f>
        <v>-38.346531830291639</v>
      </c>
      <c r="AJ40" s="12">
        <f>DEGREES(ASIN(SIN(RADIANS(OBSERVATIONS!$AO$12))*SIN(RADIANS(AA40))+COS(RADIANS(OBSERVATIONS!$AO$12))*COS(RADIANS(AA40))*COS(RADIANS(Y40))))</f>
        <v>47.018403417985077</v>
      </c>
      <c r="AK40" s="12">
        <f t="shared" si="22"/>
        <v>47.018403417985077</v>
      </c>
      <c r="AL40" s="8" t="s">
        <v>49</v>
      </c>
      <c r="AM40" s="12">
        <f t="shared" si="23"/>
        <v>151.73902010292377</v>
      </c>
      <c r="AN40" s="12">
        <f t="shared" si="24"/>
        <v>47.018403417985077</v>
      </c>
      <c r="AO40" s="12"/>
      <c r="AP40" s="12"/>
      <c r="AQ40" s="12"/>
      <c r="AR40" s="12"/>
      <c r="AS40" s="4"/>
      <c r="AT40" s="12"/>
      <c r="AU40" s="13"/>
      <c r="AV40" s="12"/>
      <c r="AW40" s="4"/>
      <c r="AX40" s="12"/>
      <c r="AY40" s="4"/>
      <c r="AZ40" s="4"/>
      <c r="BA40" s="4"/>
      <c r="BB40" s="4"/>
      <c r="BC40" s="4"/>
      <c r="BD40" s="10"/>
      <c r="BF40" s="10"/>
      <c r="BH40" s="10"/>
      <c r="BI40" s="10"/>
      <c r="BJ40" s="10"/>
      <c r="BK40" s="10"/>
      <c r="BL40" s="10"/>
      <c r="BN40" s="10"/>
      <c r="BO40" s="10"/>
      <c r="BP40" s="10"/>
      <c r="BQ40" s="10"/>
      <c r="BX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L40" s="10"/>
      <c r="CM40" s="10"/>
      <c r="CN40" s="10"/>
      <c r="CO40" s="10"/>
      <c r="CP40" s="10"/>
      <c r="CR40" s="10"/>
      <c r="CS40" s="10"/>
      <c r="CT40" s="10"/>
      <c r="CU40" s="10"/>
      <c r="CV40" s="10"/>
      <c r="CW40" s="4"/>
      <c r="CX40" s="4"/>
      <c r="CY40" s="12"/>
      <c r="CZ40" s="4"/>
      <c r="DA40" s="4"/>
      <c r="DB40" s="4"/>
      <c r="DC40" s="4"/>
      <c r="DD40" s="6"/>
      <c r="DE40" s="6"/>
      <c r="DF40" s="6"/>
      <c r="DG40" s="1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</row>
    <row r="41" spans="2:171" s="1" customFormat="1" ht="15" customHeight="1">
      <c r="B41" s="8" t="s">
        <v>57</v>
      </c>
      <c r="C41" s="1">
        <f>(3+2/60+17/3600)</f>
        <v>3.0380555555555553</v>
      </c>
      <c r="D41" s="1">
        <f>4+5.2/60</f>
        <v>4.0866666666666669</v>
      </c>
      <c r="E41" s="9">
        <f>MOD(360-(C41+((3.075+1.336*SIN(RADIANS(C41))*TAN(RADIANS(D41)))*(OBSERVATIONS!$U$35-36526)/365)/3600)*15,360)</f>
        <v>314.19345074011409</v>
      </c>
      <c r="F41" s="9">
        <f>D41+(20.04*COS(RADIANS(C41*15))*(OBSERVATIONS!$U$35-36526)/365)/3600</f>
        <v>4.1582399797505776</v>
      </c>
      <c r="G41" s="9">
        <f>-17.3*SIN(RADIANS(125-0.05295*(OBSERVATIONS!$U$35-2451545)))-1.4*SIN(RADIANS(200+1.97129*(OBSERVATIONS!$U$35-2451545)))</f>
        <v>6.6308035321601082</v>
      </c>
      <c r="H41" s="9">
        <f>9.4*COS(RADIANS(125-0.05295*(OBSERVATIONS!$U$35-2451545)))+0.7*COS(RADIANS(200+1.97129*(OBSERVATIONS!$U$35-2451545)))</f>
        <v>-7.9109288482141293</v>
      </c>
      <c r="I41" s="10">
        <f t="shared" si="15"/>
        <v>314.19385712213301</v>
      </c>
      <c r="J41" s="10">
        <f t="shared" si="16"/>
        <v>4.1586364273954937</v>
      </c>
      <c r="L41" s="11"/>
      <c r="N41" s="4"/>
      <c r="O41" s="15" t="s">
        <v>50</v>
      </c>
      <c r="P41" s="4">
        <v>0</v>
      </c>
      <c r="Q41" s="4"/>
      <c r="R41" s="4"/>
      <c r="S41" s="4"/>
      <c r="T41" s="4"/>
      <c r="U41" s="4"/>
      <c r="V41" s="4"/>
      <c r="W41" s="4"/>
      <c r="X41" s="4"/>
      <c r="Y41" s="4">
        <f>MOD(V$4+OBSERVATIONS!$AO$13+I36,360)</f>
        <v>313.23994096380261</v>
      </c>
      <c r="Z41" s="4">
        <f t="shared" si="17"/>
        <v>46.76005903619739</v>
      </c>
      <c r="AA41" s="4">
        <f t="shared" si="14"/>
        <v>-60.45551485724652</v>
      </c>
      <c r="AB41" s="4">
        <f t="shared" si="18"/>
        <v>0</v>
      </c>
      <c r="AC41" s="4">
        <f>ABS(TAN(RADIANS(ABS(OBSERVATIONS!$AO$12)))/TAN(RADIANS(ABS(Z41))))</f>
        <v>0.35543196001967237</v>
      </c>
      <c r="AD41" s="4">
        <f>IF(AB41=0,IF(OBSERVATIONS!$AY$35="N",-AC41,AC41),IF(OBSERVATIONS!$AY$35="N",AC41,-AC41))</f>
        <v>-0.35543196001967237</v>
      </c>
      <c r="AE41" s="4">
        <f t="shared" si="19"/>
        <v>-2.4218498828176118</v>
      </c>
      <c r="AF41" s="4">
        <f t="shared" si="20"/>
        <v>-2.7772818428372843</v>
      </c>
      <c r="AG41" s="4">
        <f>ABS(DEGREES(ATAN(1/(COS(RADIANS(ABS(OBSERVATIONS!$AO$12)))*AF41))))</f>
        <v>21.052982566127234</v>
      </c>
      <c r="AH41" s="4">
        <f t="shared" si="21"/>
        <v>158.94701743387276</v>
      </c>
      <c r="AI41" s="4">
        <f>AA41-OBSERVATIONS!$AO$12</f>
        <v>-81.160514857246511</v>
      </c>
      <c r="AJ41" s="12">
        <f>DEGREES(ASIN(SIN(RADIANS(OBSERVATIONS!$AO$12))*SIN(RADIANS(AA41))+COS(RADIANS(OBSERVATIONS!$AO$12))*COS(RADIANS(AA41))*COS(RADIANS(Y41))))</f>
        <v>0.48117793554247046</v>
      </c>
      <c r="AK41" s="12">
        <f t="shared" si="22"/>
        <v>0.48117793554247046</v>
      </c>
      <c r="AL41" s="8" t="s">
        <v>50</v>
      </c>
      <c r="AM41" s="12">
        <f t="shared" si="23"/>
        <v>158.94701743387276</v>
      </c>
      <c r="AN41" s="12">
        <f t="shared" si="24"/>
        <v>0.48117793554247046</v>
      </c>
      <c r="AO41" s="12"/>
      <c r="AP41" s="12"/>
      <c r="AQ41" s="12"/>
      <c r="AR41" s="12"/>
      <c r="AS41" s="4"/>
      <c r="AT41" s="12"/>
      <c r="AU41" s="13"/>
      <c r="AV41" s="12"/>
      <c r="AW41" s="4"/>
      <c r="AX41" s="12"/>
      <c r="AY41" s="4"/>
      <c r="AZ41" s="4"/>
      <c r="BA41" s="4"/>
      <c r="BB41" s="4"/>
      <c r="BC41" s="4"/>
      <c r="BD41" s="10"/>
      <c r="BF41" s="10"/>
      <c r="BH41" s="10"/>
      <c r="BI41" s="10"/>
      <c r="BJ41" s="10"/>
      <c r="BK41" s="10"/>
      <c r="BL41" s="10"/>
      <c r="BN41" s="10"/>
      <c r="BO41" s="10"/>
      <c r="BP41" s="10"/>
      <c r="BQ41" s="10"/>
      <c r="BX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L41" s="10"/>
      <c r="CM41" s="10"/>
      <c r="CN41" s="10"/>
      <c r="CO41" s="10"/>
      <c r="CP41" s="10"/>
      <c r="CR41" s="10"/>
      <c r="CS41" s="10"/>
      <c r="CT41" s="10"/>
      <c r="CU41" s="10"/>
      <c r="CV41" s="10"/>
      <c r="CW41" s="4"/>
      <c r="CX41" s="4"/>
      <c r="CY41" s="12"/>
      <c r="CZ41" s="4"/>
      <c r="DA41" s="4"/>
      <c r="DB41" s="4"/>
      <c r="DC41" s="4"/>
      <c r="DD41" s="6"/>
      <c r="DE41" s="6"/>
      <c r="DF41" s="6"/>
      <c r="DG41" s="1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</row>
    <row r="42" spans="2:171" s="1" customFormat="1" ht="15" customHeight="1">
      <c r="B42" s="8" t="s">
        <v>58</v>
      </c>
      <c r="C42" s="1">
        <f>(14+6/60+40/3600)</f>
        <v>14.111111111111111</v>
      </c>
      <c r="D42" s="1">
        <f>-36-21.9/60</f>
        <v>-36.365000000000002</v>
      </c>
      <c r="E42" s="9">
        <f>MOD(360-(C42+((3.075+1.336*SIN(RADIANS(C42))*TAN(RADIANS(D42)))*(OBSERVATIONS!$U$35-36526)/365)/3600)*15,360)</f>
        <v>148.11635907690663</v>
      </c>
      <c r="F42" s="9">
        <f>D42+(20.04*COS(RADIANS(C42*15))*(OBSERVATIONS!$U$35-36526)/365)/3600</f>
        <v>-36.452021277691962</v>
      </c>
      <c r="G42" s="9">
        <f>-17.3*SIN(RADIANS(125-0.05295*(OBSERVATIONS!$U$35-2451545)))-1.4*SIN(RADIANS(200+1.97129*(OBSERVATIONS!$U$35-2451545)))</f>
        <v>6.6308035321601082</v>
      </c>
      <c r="H42" s="9">
        <f>9.4*COS(RADIANS(125-0.05295*(OBSERVATIONS!$U$35-2451545)))+0.7*COS(RADIANS(200+1.97129*(OBSERVATIONS!$U$35-2451545)))</f>
        <v>-7.9109288482141293</v>
      </c>
      <c r="I42" s="10">
        <f t="shared" si="15"/>
        <v>148.11769137349981</v>
      </c>
      <c r="J42" s="10">
        <f t="shared" si="16"/>
        <v>-36.45318064657571</v>
      </c>
      <c r="L42" s="11"/>
      <c r="N42" s="4"/>
      <c r="O42" s="15" t="s">
        <v>51</v>
      </c>
      <c r="P42" s="4">
        <v>0</v>
      </c>
      <c r="Q42" s="4"/>
      <c r="R42" s="4"/>
      <c r="S42" s="4"/>
      <c r="T42" s="4"/>
      <c r="U42" s="4"/>
      <c r="V42" s="4"/>
      <c r="W42" s="4"/>
      <c r="X42" s="4"/>
      <c r="Y42" s="4">
        <f>MOD(V$4+OBSERVATIONS!$AO$13+I37,360)</f>
        <v>132.35076800949986</v>
      </c>
      <c r="Z42" s="4">
        <f t="shared" si="17"/>
        <v>132.35076800949986</v>
      </c>
      <c r="AA42" s="4">
        <f t="shared" si="14"/>
        <v>23.550778808865999</v>
      </c>
      <c r="AB42" s="4">
        <f t="shared" si="18"/>
        <v>1</v>
      </c>
      <c r="AC42" s="4">
        <f>ABS(TAN(RADIANS(ABS(OBSERVATIONS!$AO$12)))/TAN(RADIANS(ABS(Z42))))</f>
        <v>0.34453733080053967</v>
      </c>
      <c r="AD42" s="4">
        <f>IF(AB42=0,IF(OBSERVATIONS!$AY$35="N",-AC42,AC42),IF(OBSERVATIONS!$AY$35="N",AC42,-AC42))</f>
        <v>0.34453733080053967</v>
      </c>
      <c r="AE42" s="4">
        <f t="shared" si="19"/>
        <v>0.58977843992027623</v>
      </c>
      <c r="AF42" s="4">
        <f t="shared" si="20"/>
        <v>0.93431577072081584</v>
      </c>
      <c r="AG42" s="4">
        <f>ABS(DEGREES(ATAN(1/(COS(RADIANS(ABS(OBSERVATIONS!$AO$12)))*AF42))))</f>
        <v>48.847474324050971</v>
      </c>
      <c r="AH42" s="4">
        <f t="shared" si="21"/>
        <v>311.15252567594905</v>
      </c>
      <c r="AI42" s="4">
        <f>AA42-OBSERVATIONS!$AO$12</f>
        <v>2.845778808866001</v>
      </c>
      <c r="AJ42" s="12">
        <f>DEGREES(ASIN(SIN(RADIANS(OBSERVATIONS!$AO$12))*SIN(RADIANS(AA42))+COS(RADIANS(OBSERVATIONS!$AO$12))*COS(RADIANS(AA42))*COS(RADIANS(Y42))))</f>
        <v>-25.874526751897605</v>
      </c>
      <c r="AK42" s="12">
        <f t="shared" si="22"/>
        <v>-25.874526751897605</v>
      </c>
      <c r="AL42" s="8" t="s">
        <v>51</v>
      </c>
      <c r="AM42" s="12">
        <f t="shared" si="23"/>
        <v>311.15252567594905</v>
      </c>
      <c r="AN42" s="12">
        <f t="shared" si="24"/>
        <v>-25.874526751897605</v>
      </c>
      <c r="AO42" s="12"/>
      <c r="AP42" s="12"/>
      <c r="AQ42" s="12"/>
      <c r="AR42" s="12"/>
      <c r="AS42" s="4"/>
      <c r="AT42" s="12"/>
      <c r="AU42" s="13"/>
      <c r="AV42" s="12"/>
      <c r="AW42" s="4"/>
      <c r="AX42" s="12"/>
      <c r="AY42" s="4"/>
      <c r="AZ42" s="4"/>
      <c r="BA42" s="4"/>
      <c r="BB42" s="4"/>
      <c r="BC42" s="4"/>
      <c r="BD42" s="10"/>
      <c r="BF42" s="10"/>
      <c r="BH42" s="10"/>
      <c r="BI42" s="10"/>
      <c r="BJ42" s="10"/>
      <c r="BK42" s="10"/>
      <c r="BL42" s="10"/>
      <c r="BN42" s="10"/>
      <c r="BO42" s="10"/>
      <c r="BP42" s="10"/>
      <c r="BQ42" s="10"/>
      <c r="BX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L42" s="10"/>
      <c r="CM42" s="10"/>
      <c r="CN42" s="10"/>
      <c r="CO42" s="10"/>
      <c r="CP42" s="10"/>
      <c r="CR42" s="10"/>
      <c r="CS42" s="10"/>
      <c r="CT42" s="10"/>
      <c r="CU42" s="10"/>
      <c r="CV42" s="10"/>
      <c r="CW42" s="4"/>
      <c r="CX42" s="4"/>
      <c r="CY42" s="12"/>
      <c r="CZ42" s="4"/>
      <c r="DA42" s="4"/>
      <c r="DB42" s="4"/>
      <c r="DC42" s="4"/>
      <c r="DD42" s="6"/>
      <c r="DE42" s="6"/>
      <c r="DF42" s="6"/>
      <c r="DG42" s="1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</row>
    <row r="43" spans="2:171" s="1" customFormat="1" ht="15" customHeight="1">
      <c r="B43" s="8" t="s">
        <v>59</v>
      </c>
      <c r="C43" s="1">
        <f>(9+13/60+16/3600)</f>
        <v>9.2211111111111119</v>
      </c>
      <c r="D43" s="1">
        <f>-69-42.8/60</f>
        <v>-69.713333333333338</v>
      </c>
      <c r="E43" s="9">
        <f>MOD(360-(C43+((3.075+1.336*SIN(RADIANS(C43))*TAN(RADIANS(D43)))*(OBSERVATIONS!$U$35-36526)/365)/3600)*15,360)</f>
        <v>221.49232803347459</v>
      </c>
      <c r="F43" s="9">
        <f>D43+(20.04*COS(RADIANS(C43*15))*(OBSERVATIONS!$U$35-36526)/365)/3600</f>
        <v>-69.789692130236261</v>
      </c>
      <c r="G43" s="9">
        <f>-17.3*SIN(RADIANS(125-0.05295*(OBSERVATIONS!$U$35-2451545)))-1.4*SIN(RADIANS(200+1.97129*(OBSERVATIONS!$U$35-2451545)))</f>
        <v>6.6308035321601082</v>
      </c>
      <c r="H43" s="9">
        <f>9.4*COS(RADIANS(125-0.05295*(OBSERVATIONS!$U$35-2451545)))+0.7*COS(RADIANS(200+1.97129*(OBSERVATIONS!$U$35-2451545)))</f>
        <v>-7.9109288482141293</v>
      </c>
      <c r="I43" s="10">
        <f t="shared" si="15"/>
        <v>221.49684310294325</v>
      </c>
      <c r="J43" s="10">
        <f t="shared" si="16"/>
        <v>-69.790591471613723</v>
      </c>
      <c r="L43" s="11"/>
      <c r="N43" s="4"/>
      <c r="O43" s="15" t="s">
        <v>52</v>
      </c>
      <c r="P43" s="4">
        <v>1</v>
      </c>
      <c r="Q43" s="4">
        <f>GZ4</f>
        <v>228.38690642184577</v>
      </c>
      <c r="R43" s="4">
        <f>GZ5</f>
        <v>221.040572155463</v>
      </c>
      <c r="S43" s="4">
        <f>GZ6</f>
        <v>242.34661778115924</v>
      </c>
      <c r="T43" s="4">
        <f>GY4</f>
        <v>-16.021403339339745</v>
      </c>
      <c r="U43" s="4">
        <f>GY5</f>
        <v>-18.010593109176796</v>
      </c>
      <c r="V43" s="4">
        <f>GY6</f>
        <v>-16.020094468159915</v>
      </c>
      <c r="W43" s="4"/>
      <c r="X43" s="4"/>
      <c r="Y43" s="4">
        <f>MOD(Q43+OBSERVATIONS!$AO$13,360)</f>
        <v>298.31190642184578</v>
      </c>
      <c r="Z43" s="4">
        <f t="shared" si="17"/>
        <v>61.688093578154223</v>
      </c>
      <c r="AA43" s="4">
        <f>T43</f>
        <v>-16.021403339339745</v>
      </c>
      <c r="AB43" s="4">
        <f t="shared" si="18"/>
        <v>0</v>
      </c>
      <c r="AC43" s="4">
        <f>ABS(TAN(RADIANS(ABS(OBSERVATIONS!$AO$12)))/TAN(RADIANS(ABS(Z43))))</f>
        <v>0.20361625709553016</v>
      </c>
      <c r="AD43" s="4">
        <f>IF(AB43=0,IF(OBSERVATIONS!$AY$35="N",-AC43,AC43),IF(OBSERVATIONS!$AY$35="N",AC43,-AC43))</f>
        <v>-0.20361625709553016</v>
      </c>
      <c r="AE43" s="4">
        <f t="shared" si="19"/>
        <v>-0.32616607498909095</v>
      </c>
      <c r="AF43" s="4">
        <f t="shared" si="20"/>
        <v>-0.52978233208462111</v>
      </c>
      <c r="AG43" s="4">
        <f>ABS(DEGREES(ATAN(1/(COS(RADIANS(ABS(OBSERVATIONS!$AO$12)))*AF43))))</f>
        <v>63.638577347618245</v>
      </c>
      <c r="AH43" s="4">
        <f t="shared" si="21"/>
        <v>116.36142265238175</v>
      </c>
      <c r="AI43" s="4">
        <f>AA43-OBSERVATIONS!$AO$12</f>
        <v>-36.72640333933974</v>
      </c>
      <c r="AJ43" s="12">
        <f>DEGREES(ASIN(SIN(RADIANS(OBSERVATIONS!$AO$12))*SIN(RADIANS(AA43))+COS(RADIANS(OBSERVATIONS!$AO$12))*COS(RADIANS(AA43))*COS(RADIANS(Y43))))</f>
        <v>19.197632646968142</v>
      </c>
      <c r="AK43" s="12">
        <f t="shared" si="22"/>
        <v>19.197632646968142</v>
      </c>
      <c r="AL43" s="8" t="s">
        <v>52</v>
      </c>
      <c r="AM43" s="12">
        <f t="shared" si="23"/>
        <v>116.36142265238175</v>
      </c>
      <c r="AN43" s="12">
        <f t="shared" si="24"/>
        <v>19.197632646968142</v>
      </c>
      <c r="AO43" s="12"/>
      <c r="AP43" s="12"/>
      <c r="AQ43" s="12"/>
      <c r="AR43" s="12"/>
      <c r="AS43" s="4"/>
      <c r="AT43" s="12"/>
      <c r="AU43" s="13"/>
      <c r="AV43" s="12"/>
      <c r="AW43" s="4"/>
      <c r="AX43" s="12"/>
      <c r="AY43" s="4"/>
      <c r="AZ43" s="4"/>
      <c r="BA43" s="4"/>
      <c r="BB43" s="4"/>
      <c r="BC43" s="4"/>
      <c r="BD43" s="10"/>
      <c r="BF43" s="10"/>
      <c r="BH43" s="10"/>
      <c r="BI43" s="10"/>
      <c r="BJ43" s="10"/>
      <c r="BK43" s="10"/>
      <c r="BL43" s="10"/>
      <c r="BN43" s="10"/>
      <c r="BO43" s="10"/>
      <c r="BP43" s="10"/>
      <c r="BQ43" s="10"/>
      <c r="BX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L43" s="10"/>
      <c r="CM43" s="10"/>
      <c r="CN43" s="10"/>
      <c r="CO43" s="10"/>
      <c r="CP43" s="10"/>
      <c r="CR43" s="10"/>
      <c r="CS43" s="10"/>
      <c r="CT43" s="10"/>
      <c r="CU43" s="10"/>
      <c r="CV43" s="10"/>
      <c r="CW43" s="4"/>
      <c r="CX43" s="4"/>
      <c r="CY43" s="12"/>
      <c r="CZ43" s="4"/>
      <c r="DA43" s="4"/>
      <c r="DB43" s="4"/>
      <c r="DC43" s="4"/>
      <c r="DD43" s="6"/>
      <c r="DE43" s="6"/>
      <c r="DF43" s="6"/>
      <c r="DG43" s="1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</row>
    <row r="44" spans="2:171" s="1" customFormat="1" ht="15" customHeight="1">
      <c r="B44" s="8" t="s">
        <v>60</v>
      </c>
      <c r="C44" s="1">
        <f>(3+24/60+20/3600)</f>
        <v>3.4055555555555554</v>
      </c>
      <c r="D44" s="1">
        <f>49+51.7/60</f>
        <v>49.861666666666665</v>
      </c>
      <c r="E44" s="9">
        <f>MOD(360-(C44+((3.075+1.336*SIN(RADIANS(C44))*TAN(RADIANS(D44)))*(OBSERVATIONS!$U$35-36526)/365)/3600)*15,360)</f>
        <v>308.67413505793758</v>
      </c>
      <c r="F44" s="9">
        <f>D44+(20.04*COS(RADIANS(C44*15))*(OBSERVATIONS!$U$35-36526)/365)/3600</f>
        <v>49.925895046990625</v>
      </c>
      <c r="G44" s="9">
        <f>-17.3*SIN(RADIANS(125-0.05295*(OBSERVATIONS!$U$35-2451545)))-1.4*SIN(RADIANS(200+1.97129*(OBSERVATIONS!$U$35-2451545)))</f>
        <v>6.6308035321601082</v>
      </c>
      <c r="H44" s="9">
        <f>9.4*COS(RADIANS(125-0.05295*(OBSERVATIONS!$U$35-2451545)))+0.7*COS(RADIANS(200+1.97129*(OBSERVATIONS!$U$35-2451545)))</f>
        <v>-7.9109288482141293</v>
      </c>
      <c r="I44" s="10">
        <f t="shared" si="15"/>
        <v>308.67666523561763</v>
      </c>
      <c r="J44" s="10">
        <f t="shared" si="16"/>
        <v>49.926224786472623</v>
      </c>
      <c r="L44" s="11"/>
      <c r="N44" s="4"/>
      <c r="O44" s="15" t="s">
        <v>53</v>
      </c>
      <c r="P44" s="4">
        <v>0</v>
      </c>
      <c r="Q44" s="4"/>
      <c r="R44" s="4"/>
      <c r="S44" s="4"/>
      <c r="T44" s="4"/>
      <c r="U44" s="4"/>
      <c r="V44" s="4"/>
      <c r="W44" s="4"/>
      <c r="X44" s="4"/>
      <c r="Y44" s="4">
        <f>MOD(V$4+OBSERVATIONS!$AO$13+I38,360)</f>
        <v>248.1359653195243</v>
      </c>
      <c r="Z44" s="4">
        <f t="shared" si="17"/>
        <v>111.8640346804757</v>
      </c>
      <c r="AA44" s="4">
        <f>J38</f>
        <v>-34.373210944289681</v>
      </c>
      <c r="AB44" s="4">
        <f t="shared" si="18"/>
        <v>1</v>
      </c>
      <c r="AC44" s="4">
        <f>ABS(TAN(RADIANS(ABS(OBSERVATIONS!$AO$12)))/TAN(RADIANS(ABS(Z44))))</f>
        <v>0.15166673185308291</v>
      </c>
      <c r="AD44" s="4">
        <f>IF(AB44=0,IF(OBSERVATIONS!$AY$35="N",-AC44,AC44),IF(OBSERVATIONS!$AY$35="N",AC44,-AC44))</f>
        <v>0.15166673185308291</v>
      </c>
      <c r="AE44" s="4">
        <f t="shared" si="19"/>
        <v>-0.73704310940586626</v>
      </c>
      <c r="AF44" s="4">
        <f t="shared" si="20"/>
        <v>-0.58537637755278338</v>
      </c>
      <c r="AG44" s="4">
        <f>ABS(DEGREES(ATAN(1/(COS(RADIANS(ABS(OBSERVATIONS!$AO$12)))*AF44))))</f>
        <v>61.296263207562589</v>
      </c>
      <c r="AH44" s="4">
        <f t="shared" si="21"/>
        <v>118.70373679243741</v>
      </c>
      <c r="AI44" s="4">
        <f>AA44-OBSERVATIONS!$AO$12</f>
        <v>-55.07821094428968</v>
      </c>
      <c r="AJ44" s="12">
        <f>DEGREES(ASIN(SIN(RADIANS(OBSERVATIONS!$AO$12))*SIN(RADIANS(AA44))+COS(RADIANS(OBSERVATIONS!$AO$12))*COS(RADIANS(AA44))*COS(RADIANS(Y44))))</f>
        <v>-29.152376201892942</v>
      </c>
      <c r="AK44" s="12">
        <f t="shared" si="22"/>
        <v>-29.152376201892942</v>
      </c>
      <c r="AL44" s="8" t="s">
        <v>53</v>
      </c>
      <c r="AM44" s="12">
        <f t="shared" si="23"/>
        <v>118.70373679243741</v>
      </c>
      <c r="AN44" s="12">
        <f t="shared" si="24"/>
        <v>-29.152376201892942</v>
      </c>
      <c r="AO44" s="12"/>
      <c r="AP44" s="12"/>
      <c r="AQ44" s="12"/>
      <c r="AR44" s="12"/>
      <c r="AS44" s="4"/>
      <c r="AT44" s="12"/>
      <c r="AU44" s="13"/>
      <c r="AV44" s="12"/>
      <c r="AW44" s="4"/>
      <c r="AX44" s="12"/>
      <c r="AY44" s="4"/>
      <c r="AZ44" s="4"/>
      <c r="BA44" s="4"/>
      <c r="BB44" s="4"/>
      <c r="BC44" s="4"/>
      <c r="BD44" s="10"/>
      <c r="BF44" s="10"/>
      <c r="BH44" s="10"/>
      <c r="BI44" s="10"/>
      <c r="BJ44" s="10"/>
      <c r="BK44" s="10"/>
      <c r="BL44" s="10"/>
      <c r="BN44" s="10"/>
      <c r="BO44" s="10"/>
      <c r="BP44" s="10"/>
      <c r="BQ44" s="10"/>
      <c r="BX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L44" s="10"/>
      <c r="CM44" s="10"/>
      <c r="CN44" s="10"/>
      <c r="CO44" s="10"/>
      <c r="CP44" s="10"/>
      <c r="CR44" s="10"/>
      <c r="CS44" s="10"/>
      <c r="CT44" s="10"/>
      <c r="CU44" s="10"/>
      <c r="CV44" s="10"/>
      <c r="CW44" s="4"/>
      <c r="CX44" s="4"/>
      <c r="CY44" s="12"/>
      <c r="CZ44" s="4"/>
      <c r="DA44" s="4"/>
      <c r="DB44" s="4"/>
      <c r="DC44" s="4"/>
      <c r="DD44" s="6"/>
      <c r="DE44" s="6"/>
      <c r="DF44" s="6"/>
      <c r="DG44" s="1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</row>
    <row r="45" spans="2:171" s="1" customFormat="1" ht="15" customHeight="1">
      <c r="B45" s="8" t="s">
        <v>61</v>
      </c>
      <c r="C45" s="1">
        <f>(18+55/60+13/3600)</f>
        <v>18.92027777777778</v>
      </c>
      <c r="D45" s="1">
        <f>-26-17.7/60</f>
        <v>-26.295000000000002</v>
      </c>
      <c r="E45" s="9">
        <f>MOD(360-(C45+((3.075+1.336*SIN(RADIANS(C45))*TAN(RADIANS(D45)))*(OBSERVATIONS!$U$35-36526)/365)/3600)*15,360)</f>
        <v>75.976886067541216</v>
      </c>
      <c r="F45" s="9">
        <f>D45+(20.04*COS(RADIANS(C45*15))*(OBSERVATIONS!$U$35-36526)/365)/3600</f>
        <v>-26.27060424726556</v>
      </c>
      <c r="G45" s="9">
        <f>-17.3*SIN(RADIANS(125-0.05295*(OBSERVATIONS!$U$35-2451545)))-1.4*SIN(RADIANS(200+1.97129*(OBSERVATIONS!$U$35-2451545)))</f>
        <v>6.6308035321601082</v>
      </c>
      <c r="H45" s="9">
        <f>9.4*COS(RADIANS(125-0.05295*(OBSERVATIONS!$U$35-2451545)))+0.7*COS(RADIANS(200+1.97129*(OBSERVATIONS!$U$35-2451545)))</f>
        <v>-7.9109288482141293</v>
      </c>
      <c r="I45" s="10">
        <f t="shared" si="15"/>
        <v>75.976413169411742</v>
      </c>
      <c r="J45" s="10">
        <f t="shared" si="16"/>
        <v>-26.271141959020309</v>
      </c>
      <c r="L45" s="11"/>
      <c r="N45" s="4"/>
      <c r="O45" s="15" t="s">
        <v>54</v>
      </c>
      <c r="P45" s="4">
        <v>0</v>
      </c>
      <c r="Q45" s="4"/>
      <c r="R45" s="4"/>
      <c r="S45" s="4"/>
      <c r="T45" s="4"/>
      <c r="U45" s="4"/>
      <c r="V45" s="4"/>
      <c r="W45" s="4"/>
      <c r="X45" s="4"/>
      <c r="Y45" s="4">
        <f>MOD(V$4+OBSERVATIONS!$AO$13+I39,360)</f>
        <v>301.38327819402105</v>
      </c>
      <c r="Z45" s="4">
        <f t="shared" si="17"/>
        <v>58.616721805978955</v>
      </c>
      <c r="AA45" s="4">
        <f>J39</f>
        <v>74.077045840918657</v>
      </c>
      <c r="AB45" s="4">
        <f t="shared" si="18"/>
        <v>0</v>
      </c>
      <c r="AC45" s="4">
        <f>ABS(TAN(RADIANS(ABS(OBSERVATIONS!$AO$12)))/TAN(RADIANS(ABS(Z45))))</f>
        <v>0.23056141624298465</v>
      </c>
      <c r="AD45" s="4">
        <f>IF(AB45=0,IF(OBSERVATIONS!$AY$35="N",-AC45,AC45),IF(OBSERVATIONS!$AY$35="N",AC45,-AC45))</f>
        <v>-0.23056141624298465</v>
      </c>
      <c r="AE45" s="4">
        <f t="shared" si="19"/>
        <v>4.1058748331568147</v>
      </c>
      <c r="AF45" s="4">
        <f t="shared" si="20"/>
        <v>3.8753134169138299</v>
      </c>
      <c r="AG45" s="4">
        <f>ABS(DEGREES(ATAN(1/(COS(RADIANS(ABS(OBSERVATIONS!$AO$12)))*AF45))))</f>
        <v>15.422083321737004</v>
      </c>
      <c r="AH45" s="4">
        <f t="shared" si="21"/>
        <v>15.422083321737004</v>
      </c>
      <c r="AI45" s="4">
        <f>AA45-OBSERVATIONS!$AO$12</f>
        <v>53.372045840918659</v>
      </c>
      <c r="AJ45" s="12">
        <f>DEGREES(ASIN(SIN(RADIANS(OBSERVATIONS!$AO$12))*SIN(RADIANS(AA45))+COS(RADIANS(OBSERVATIONS!$AO$12))*COS(RADIANS(AA45))*COS(RADIANS(Y45))))</f>
        <v>28.270280365963043</v>
      </c>
      <c r="AK45" s="12">
        <f t="shared" si="22"/>
        <v>28.270280365963043</v>
      </c>
      <c r="AL45" s="8" t="s">
        <v>54</v>
      </c>
      <c r="AM45" s="12">
        <f t="shared" si="23"/>
        <v>15.422083321737004</v>
      </c>
      <c r="AN45" s="12">
        <f t="shared" si="24"/>
        <v>28.270280365963043</v>
      </c>
      <c r="AO45" s="12"/>
      <c r="AP45" s="12"/>
      <c r="AQ45" s="12"/>
      <c r="AR45" s="12"/>
      <c r="AS45" s="4"/>
      <c r="AT45" s="12"/>
      <c r="AU45" s="13"/>
      <c r="AV45" s="12"/>
      <c r="AW45" s="4"/>
      <c r="AX45" s="12"/>
      <c r="AY45" s="4"/>
      <c r="AZ45" s="4"/>
      <c r="BA45" s="4"/>
      <c r="BB45" s="4"/>
      <c r="BC45" s="4"/>
      <c r="BD45" s="10"/>
      <c r="BF45" s="10"/>
      <c r="BH45" s="10"/>
      <c r="BI45" s="10"/>
      <c r="BJ45" s="10"/>
      <c r="BK45" s="10"/>
      <c r="BL45" s="10"/>
      <c r="BN45" s="10"/>
      <c r="BO45" s="10"/>
      <c r="BP45" s="10"/>
      <c r="BQ45" s="10"/>
      <c r="BX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L45" s="10"/>
      <c r="CM45" s="10"/>
      <c r="CN45" s="10"/>
      <c r="CO45" s="10"/>
      <c r="CP45" s="10"/>
      <c r="CR45" s="10"/>
      <c r="CS45" s="10"/>
      <c r="CT45" s="10"/>
      <c r="CU45" s="10"/>
      <c r="CV45" s="10"/>
      <c r="CW45" s="4"/>
      <c r="CX45" s="4"/>
      <c r="CY45" s="12"/>
      <c r="CZ45" s="4"/>
      <c r="DA45" s="4"/>
      <c r="DB45" s="4"/>
      <c r="DC45" s="4"/>
      <c r="DD45" s="6"/>
      <c r="DE45" s="6"/>
      <c r="DF45" s="6"/>
      <c r="DG45" s="1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</row>
    <row r="46" spans="2:171" s="1" customFormat="1" ht="15" customHeight="1">
      <c r="B46" s="8" t="s">
        <v>62</v>
      </c>
      <c r="C46" s="1">
        <f>(20+25/60+35/3600)</f>
        <v>20.426388888888891</v>
      </c>
      <c r="D46" s="1">
        <f>-56-44.2/60</f>
        <v>-56.736666666666665</v>
      </c>
      <c r="E46" s="9">
        <f>MOD(360-(C46+((3.075+1.336*SIN(RADIANS(C46))*TAN(RADIANS(D46)))*(OBSERVATIONS!$U$35-36526)/365)/3600)*15,360)</f>
        <v>53.423236536898457</v>
      </c>
      <c r="F46" s="9">
        <f>D46+(20.04*COS(RADIANS(C46*15))*(OBSERVATIONS!$U$35-36526)/365)/3600</f>
        <v>-56.675999336802306</v>
      </c>
      <c r="G46" s="9">
        <f>-17.3*SIN(RADIANS(125-0.05295*(OBSERVATIONS!$U$35-2451545)))-1.4*SIN(RADIANS(200+1.97129*(OBSERVATIONS!$U$35-2451545)))</f>
        <v>6.6308035321601082</v>
      </c>
      <c r="H46" s="9">
        <f>9.4*COS(RADIANS(125-0.05295*(OBSERVATIONS!$U$35-2451545)))+0.7*COS(RADIANS(200+1.97129*(OBSERVATIONS!$U$35-2451545)))</f>
        <v>-7.9109288482141293</v>
      </c>
      <c r="I46" s="10">
        <f t="shared" si="15"/>
        <v>53.420803297659276</v>
      </c>
      <c r="J46" s="10">
        <f t="shared" si="16"/>
        <v>-56.676331508150298</v>
      </c>
      <c r="L46" s="11"/>
      <c r="N46" s="4"/>
      <c r="O46" s="15" t="s">
        <v>55</v>
      </c>
      <c r="P46" s="4">
        <v>0</v>
      </c>
      <c r="Q46" s="4"/>
      <c r="R46" s="4"/>
      <c r="S46" s="4"/>
      <c r="T46" s="4"/>
      <c r="U46" s="4"/>
      <c r="V46" s="4"/>
      <c r="W46" s="4"/>
      <c r="X46" s="4"/>
      <c r="Y46" s="4">
        <f>MOD(V$4+OBSERVATIONS!$AO$13+I40,360)</f>
        <v>177.95017486155916</v>
      </c>
      <c r="Z46" s="4">
        <f t="shared" si="17"/>
        <v>177.95017486155916</v>
      </c>
      <c r="AA46" s="4">
        <f>J40</f>
        <v>15.304135312421348</v>
      </c>
      <c r="AB46" s="4">
        <f t="shared" si="18"/>
        <v>1</v>
      </c>
      <c r="AC46" s="4">
        <f>ABS(TAN(RADIANS(ABS(OBSERVATIONS!$AO$12)))/TAN(RADIANS(ABS(Z46))))</f>
        <v>10.560288497490735</v>
      </c>
      <c r="AD46" s="4">
        <f>IF(AB46=0,IF(OBSERVATIONS!$AY$35="N",-AC46,AC46),IF(OBSERVATIONS!$AY$35="N",AC46,-AC46))</f>
        <v>10.560288497490735</v>
      </c>
      <c r="AE46" s="4">
        <f t="shared" si="19"/>
        <v>7.6504777456614832</v>
      </c>
      <c r="AF46" s="4">
        <f t="shared" si="20"/>
        <v>18.210766243152218</v>
      </c>
      <c r="AG46" s="4">
        <f>ABS(DEGREES(ATAN(1/(COS(RADIANS(ABS(OBSERVATIONS!$AO$12)))*AF46))))</f>
        <v>3.3596403365192975</v>
      </c>
      <c r="AH46" s="4">
        <f t="shared" si="21"/>
        <v>356.64035966348069</v>
      </c>
      <c r="AI46" s="4">
        <f>AA46-OBSERVATIONS!$AO$12</f>
        <v>-5.4008646875786503</v>
      </c>
      <c r="AJ46" s="12">
        <f>DEGREES(ASIN(SIN(RADIANS(OBSERVATIONS!$AO$12))*SIN(RADIANS(AA46))+COS(RADIANS(OBSERVATIONS!$AO$12))*COS(RADIANS(AA46))*COS(RADIANS(Y46))))</f>
        <v>-53.934636943716704</v>
      </c>
      <c r="AK46" s="12">
        <f t="shared" si="22"/>
        <v>-53.934636943716704</v>
      </c>
      <c r="AL46" s="8" t="s">
        <v>55</v>
      </c>
      <c r="AM46" s="12">
        <f t="shared" si="23"/>
        <v>356.64035966348069</v>
      </c>
      <c r="AN46" s="12">
        <f t="shared" si="24"/>
        <v>-53.934636943716704</v>
      </c>
      <c r="AO46" s="12"/>
      <c r="AP46" s="12"/>
      <c r="AQ46" s="12"/>
      <c r="AR46" s="12"/>
      <c r="AS46" s="4"/>
      <c r="AT46" s="12"/>
      <c r="AU46" s="13"/>
      <c r="AV46" s="12"/>
      <c r="AW46" s="4"/>
      <c r="AX46" s="12"/>
      <c r="AY46" s="4"/>
      <c r="AZ46" s="4"/>
      <c r="BA46" s="4"/>
      <c r="BB46" s="4"/>
      <c r="BC46" s="4"/>
      <c r="BD46" s="10"/>
      <c r="BF46" s="10"/>
      <c r="BH46" s="10"/>
      <c r="BI46" s="10"/>
      <c r="BJ46" s="10"/>
      <c r="BK46" s="10"/>
      <c r="BL46" s="10"/>
      <c r="BN46" s="10"/>
      <c r="BO46" s="10"/>
      <c r="BP46" s="10"/>
      <c r="BQ46" s="10"/>
      <c r="BX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L46" s="10"/>
      <c r="CM46" s="10"/>
      <c r="CN46" s="10"/>
      <c r="CO46" s="10"/>
      <c r="CP46" s="10"/>
      <c r="CR46" s="10"/>
      <c r="CS46" s="10"/>
      <c r="CT46" s="10"/>
      <c r="CU46" s="10"/>
      <c r="CV46" s="10"/>
      <c r="CW46" s="4"/>
      <c r="CX46" s="4"/>
      <c r="CY46" s="12"/>
      <c r="CZ46" s="4"/>
      <c r="DA46" s="4"/>
      <c r="DB46" s="4"/>
      <c r="DC46" s="4"/>
      <c r="DD46" s="6"/>
      <c r="DE46" s="6"/>
      <c r="DF46" s="6"/>
      <c r="DG46" s="1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</row>
    <row r="47" spans="2:171" s="1" customFormat="1" ht="15" customHeight="1">
      <c r="B47" s="8" t="s">
        <v>63</v>
      </c>
      <c r="C47" s="1">
        <f>(7+45/60+20/3600)</f>
        <v>7.7555555555555555</v>
      </c>
      <c r="D47" s="1">
        <f>28+1.5/60</f>
        <v>28.024999999999999</v>
      </c>
      <c r="E47" s="9">
        <f>MOD(360-(C47+((3.075+1.336*SIN(RADIANS(C47))*TAN(RADIANS(D47)))*(OBSERVATIONS!$U$35-36526)/365)/3600)*15,360)</f>
        <v>243.42399392789292</v>
      </c>
      <c r="F47" s="9">
        <f>D47+(20.04*COS(RADIANS(C47*15))*(OBSERVATIONS!$U$35-36526)/365)/3600</f>
        <v>27.979645464940621</v>
      </c>
      <c r="G47" s="9">
        <f>-17.3*SIN(RADIANS(125-0.05295*(OBSERVATIONS!$U$35-2451545)))-1.4*SIN(RADIANS(200+1.97129*(OBSERVATIONS!$U$35-2451545)))</f>
        <v>6.6308035321601082</v>
      </c>
      <c r="H47" s="9">
        <f>9.4*COS(RADIANS(125-0.05295*(OBSERVATIONS!$U$35-2451545)))+0.7*COS(RADIANS(200+1.97129*(OBSERVATIONS!$U$35-2451545)))</f>
        <v>-7.9109288482141293</v>
      </c>
      <c r="I47" s="10">
        <f t="shared" si="15"/>
        <v>243.42437640239834</v>
      </c>
      <c r="J47" s="10">
        <f t="shared" si="16"/>
        <v>27.979023899529516</v>
      </c>
      <c r="L47" s="11"/>
      <c r="N47" s="4"/>
      <c r="O47" s="15" t="s">
        <v>56</v>
      </c>
      <c r="P47" s="4">
        <v>1</v>
      </c>
      <c r="Q47" s="4">
        <f>EJ4</f>
        <v>154.2993210530276</v>
      </c>
      <c r="R47" s="4">
        <f>EJ5</f>
        <v>191.17797013748486</v>
      </c>
      <c r="S47" s="4">
        <f>EJ6</f>
        <v>168.23640313834366</v>
      </c>
      <c r="T47" s="4">
        <f>EI4</f>
        <v>-22.308548547861818</v>
      </c>
      <c r="U47" s="4">
        <f>EI5</f>
        <v>-23.782181236659689</v>
      </c>
      <c r="V47" s="4">
        <f>EI6</f>
        <v>-22.30703559851646</v>
      </c>
      <c r="W47" s="4"/>
      <c r="X47" s="4"/>
      <c r="Y47" s="4">
        <f>MOD(Q47+OBSERVATIONS!$AO$13,360)</f>
        <v>224.22432105302761</v>
      </c>
      <c r="Z47" s="4">
        <f t="shared" si="17"/>
        <v>135.77567894697239</v>
      </c>
      <c r="AA47" s="4">
        <f>T47</f>
        <v>-22.308548547861818</v>
      </c>
      <c r="AB47" s="4">
        <f t="shared" si="18"/>
        <v>1</v>
      </c>
      <c r="AC47" s="4">
        <f>ABS(TAN(RADIANS(ABS(OBSERVATIONS!$AO$12)))/TAN(RADIANS(ABS(Z47))))</f>
        <v>0.38834331773437225</v>
      </c>
      <c r="AD47" s="4">
        <f>IF(AB47=0,IF(OBSERVATIONS!$AY$35="N",-AC47,AC47),IF(OBSERVATIONS!$AY$35="N",AC47,-AC47))</f>
        <v>0.38834331773437225</v>
      </c>
      <c r="AE47" s="4">
        <f t="shared" si="19"/>
        <v>-0.58827558998000185</v>
      </c>
      <c r="AF47" s="4">
        <f t="shared" si="20"/>
        <v>-0.19993227224562959</v>
      </c>
      <c r="AG47" s="4">
        <f>ABS(DEGREES(ATAN(1/(COS(RADIANS(ABS(OBSERVATIONS!$AO$12)))*AF47))))</f>
        <v>79.40695468519155</v>
      </c>
      <c r="AH47" s="4">
        <f t="shared" si="21"/>
        <v>100.59304531480845</v>
      </c>
      <c r="AI47" s="4">
        <f>AA47-OBSERVATIONS!$AO$12</f>
        <v>-43.013548547861816</v>
      </c>
      <c r="AJ47" s="12">
        <f>DEGREES(ASIN(SIN(RADIANS(OBSERVATIONS!$AO$12))*SIN(RADIANS(AA47))+COS(RADIANS(OBSERVATIONS!$AO$12))*COS(RADIANS(AA47))*COS(RADIANS(Y47))))</f>
        <v>-48.970051362971191</v>
      </c>
      <c r="AK47" s="12">
        <f t="shared" si="22"/>
        <v>-48.970051362971191</v>
      </c>
      <c r="AL47" s="8" t="s">
        <v>56</v>
      </c>
      <c r="AM47" s="12">
        <f t="shared" si="23"/>
        <v>100.59304531480845</v>
      </c>
      <c r="AN47" s="12">
        <f t="shared" si="24"/>
        <v>-48.970051362971191</v>
      </c>
      <c r="AO47" s="12"/>
      <c r="AP47" s="12"/>
      <c r="AQ47" s="12"/>
      <c r="AR47" s="12"/>
      <c r="AS47" s="4"/>
      <c r="AT47" s="12"/>
      <c r="AU47" s="13"/>
      <c r="AV47" s="12"/>
      <c r="AW47" s="4"/>
      <c r="AX47" s="12"/>
      <c r="AY47" s="4"/>
      <c r="AZ47" s="4"/>
      <c r="BA47" s="4"/>
      <c r="BB47" s="4"/>
      <c r="BC47" s="4"/>
      <c r="BD47" s="10"/>
      <c r="BF47" s="10"/>
      <c r="BH47" s="10"/>
      <c r="BI47" s="10"/>
      <c r="BJ47" s="10"/>
      <c r="BK47" s="10"/>
      <c r="BL47" s="10"/>
      <c r="BN47" s="10"/>
      <c r="BO47" s="10"/>
      <c r="BP47" s="10"/>
      <c r="BQ47" s="10"/>
      <c r="BX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L47" s="10"/>
      <c r="CM47" s="10"/>
      <c r="CN47" s="10"/>
      <c r="CO47" s="10"/>
      <c r="CP47" s="10"/>
      <c r="CR47" s="10"/>
      <c r="CS47" s="10"/>
      <c r="CT47" s="10"/>
      <c r="CU47" s="10"/>
      <c r="CV47" s="10"/>
      <c r="CW47" s="4"/>
      <c r="CX47" s="4"/>
      <c r="CY47" s="12"/>
      <c r="CZ47" s="4"/>
      <c r="DA47" s="4"/>
      <c r="DB47" s="4"/>
      <c r="DC47" s="4"/>
      <c r="DD47" s="6"/>
      <c r="DE47" s="6"/>
      <c r="DF47" s="6"/>
      <c r="DG47" s="1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</row>
    <row r="48" spans="2:171" s="1" customFormat="1" ht="15" customHeight="1">
      <c r="B48" s="8" t="s">
        <v>64</v>
      </c>
      <c r="C48" s="1">
        <f>(7+39/60+19/3600)</f>
        <v>7.6552777777777781</v>
      </c>
      <c r="D48" s="1">
        <f>5+13.5/60</f>
        <v>5.2249999999999996</v>
      </c>
      <c r="E48" s="9">
        <f>MOD(360-(C48+((3.075+1.336*SIN(RADIANS(C48))*TAN(RADIANS(D48)))*(OBSERVATIONS!$U$35-36526)/365)/3600)*15,360)</f>
        <v>244.93425904343587</v>
      </c>
      <c r="F48" s="9">
        <f>D48+(20.04*COS(RADIANS(C48*15))*(OBSERVATIONS!$U$35-36526)/365)/3600</f>
        <v>5.1820664447854066</v>
      </c>
      <c r="G48" s="9">
        <f>-17.3*SIN(RADIANS(125-0.05295*(OBSERVATIONS!$U$35-2451545)))-1.4*SIN(RADIANS(200+1.97129*(OBSERVATIONS!$U$35-2451545)))</f>
        <v>6.6308035321601082</v>
      </c>
      <c r="H48" s="9">
        <f>9.4*COS(RADIANS(125-0.05295*(OBSERVATIONS!$U$35-2451545)))+0.7*COS(RADIANS(200+1.97129*(OBSERVATIONS!$U$35-2451545)))</f>
        <v>-7.9109288482141293</v>
      </c>
      <c r="I48" s="10">
        <f t="shared" si="15"/>
        <v>244.93456305610363</v>
      </c>
      <c r="J48" s="10">
        <f t="shared" si="16"/>
        <v>5.1814660399787034</v>
      </c>
      <c r="L48" s="11"/>
      <c r="N48" s="4"/>
      <c r="O48" s="15" t="s">
        <v>57</v>
      </c>
      <c r="P48" s="4">
        <v>0</v>
      </c>
      <c r="Q48" s="4"/>
      <c r="R48" s="4"/>
      <c r="S48" s="4"/>
      <c r="T48" s="4"/>
      <c r="U48" s="4"/>
      <c r="V48" s="4"/>
      <c r="W48" s="4"/>
      <c r="X48" s="4"/>
      <c r="Y48" s="4">
        <f>MOD(V$4+OBSERVATIONS!$AO$13+I41,360)</f>
        <v>118.57202148466752</v>
      </c>
      <c r="Z48" s="4">
        <f t="shared" si="17"/>
        <v>118.57202148466752</v>
      </c>
      <c r="AA48" s="4">
        <f t="shared" ref="AA48:AA60" si="25">J41</f>
        <v>4.1586364273954937</v>
      </c>
      <c r="AB48" s="4">
        <f t="shared" si="18"/>
        <v>1</v>
      </c>
      <c r="AC48" s="4">
        <f>ABS(TAN(RADIANS(ABS(OBSERVATIONS!$AO$12)))/TAN(RADIANS(ABS(Z48))))</f>
        <v>0.20583560532333839</v>
      </c>
      <c r="AD48" s="4">
        <f>IF(AB48=0,IF(OBSERVATIONS!$AY$35="N",-AC48,AC48),IF(OBSERVATIONS!$AY$35="N",AC48,-AC48))</f>
        <v>0.20583560532333839</v>
      </c>
      <c r="AE48" s="4">
        <f t="shared" si="19"/>
        <v>8.2792356930605174E-2</v>
      </c>
      <c r="AF48" s="4">
        <f t="shared" si="20"/>
        <v>0.28862796225394355</v>
      </c>
      <c r="AG48" s="4">
        <f>ABS(DEGREES(ATAN(1/(COS(RADIANS(ABS(OBSERVATIONS!$AO$12)))*AF48))))</f>
        <v>74.891151144828982</v>
      </c>
      <c r="AH48" s="4">
        <f t="shared" si="21"/>
        <v>285.108848855171</v>
      </c>
      <c r="AI48" s="4">
        <f>AA48-OBSERVATIONS!$AO$12</f>
        <v>-16.546363572604506</v>
      </c>
      <c r="AJ48" s="12">
        <f>DEGREES(ASIN(SIN(RADIANS(OBSERVATIONS!$AO$12))*SIN(RADIANS(AA48))+COS(RADIANS(OBSERVATIONS!$AO$12))*COS(RADIANS(AA48))*COS(RADIANS(Y48))))</f>
        <v>-24.869720822620899</v>
      </c>
      <c r="AK48" s="12">
        <f t="shared" si="22"/>
        <v>-24.869720822620899</v>
      </c>
      <c r="AL48" s="8" t="s">
        <v>57</v>
      </c>
      <c r="AM48" s="12">
        <f t="shared" si="23"/>
        <v>285.108848855171</v>
      </c>
      <c r="AN48" s="12">
        <f t="shared" si="24"/>
        <v>-24.869720822620899</v>
      </c>
      <c r="AO48" s="12"/>
      <c r="AP48" s="12"/>
      <c r="AQ48" s="12"/>
      <c r="AR48" s="12"/>
      <c r="AS48" s="4"/>
      <c r="AT48" s="12"/>
      <c r="AU48" s="13"/>
      <c r="AV48" s="12"/>
      <c r="AW48" s="4"/>
      <c r="AX48" s="12"/>
      <c r="AY48" s="4"/>
      <c r="AZ48" s="4"/>
      <c r="BA48" s="4"/>
      <c r="BB48" s="4"/>
      <c r="BC48" s="4"/>
      <c r="BD48" s="10"/>
      <c r="BF48" s="10"/>
      <c r="BH48" s="10"/>
      <c r="BI48" s="10"/>
      <c r="BJ48" s="10"/>
      <c r="BK48" s="10"/>
      <c r="BL48" s="10"/>
      <c r="BN48" s="10"/>
      <c r="BO48" s="10"/>
      <c r="BP48" s="10"/>
      <c r="BQ48" s="10"/>
      <c r="BX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L48" s="10"/>
      <c r="CM48" s="10"/>
      <c r="CN48" s="10"/>
      <c r="CO48" s="10"/>
      <c r="CP48" s="10"/>
      <c r="CR48" s="10"/>
      <c r="CS48" s="10"/>
      <c r="CT48" s="10"/>
      <c r="CU48" s="10"/>
      <c r="CV48" s="10"/>
      <c r="CW48" s="4"/>
      <c r="CX48" s="4"/>
      <c r="CY48" s="12"/>
      <c r="CZ48" s="4"/>
      <c r="DA48" s="4"/>
      <c r="DB48" s="4"/>
      <c r="DC48" s="4"/>
      <c r="DD48" s="6"/>
      <c r="DE48" s="6"/>
      <c r="DF48" s="6"/>
      <c r="DG48" s="1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</row>
    <row r="49" spans="2:176" s="1" customFormat="1" ht="15" customHeight="1">
      <c r="B49" s="8" t="s">
        <v>65</v>
      </c>
      <c r="C49" s="1">
        <f>(17+34/60+54/3600)</f>
        <v>17.581666666666667</v>
      </c>
      <c r="D49" s="1">
        <f>12+33.7/60</f>
        <v>12.561666666666667</v>
      </c>
      <c r="E49" s="9">
        <f>MOD(360-(C49+((3.075+1.336*SIN(RADIANS(C49))*TAN(RADIANS(D49)))*(OBSERVATIONS!$U$35-36526)/365)/3600)*15,360)</f>
        <v>96.032789484639636</v>
      </c>
      <c r="F49" s="9">
        <f>D49+(20.04*COS(RADIANS(C49*15))*(OBSERVATIONS!$U$35-36526)/365)/3600</f>
        <v>12.55049137370588</v>
      </c>
      <c r="G49" s="9">
        <f>-17.3*SIN(RADIANS(125-0.05295*(OBSERVATIONS!$U$35-2451545)))-1.4*SIN(RADIANS(200+1.97129*(OBSERVATIONS!$U$35-2451545)))</f>
        <v>6.6308035321601082</v>
      </c>
      <c r="H49" s="9">
        <f>9.4*COS(RADIANS(125-0.05295*(OBSERVATIONS!$U$35-2451545)))+0.7*COS(RADIANS(200+1.97129*(OBSERVATIONS!$U$35-2451545)))</f>
        <v>-7.9109288482141293</v>
      </c>
      <c r="I49" s="10">
        <f t="shared" si="15"/>
        <v>96.033617318487742</v>
      </c>
      <c r="J49" s="10">
        <f t="shared" si="16"/>
        <v>12.549747507144273</v>
      </c>
      <c r="L49" s="11"/>
      <c r="N49" s="4"/>
      <c r="O49" s="15" t="s">
        <v>58</v>
      </c>
      <c r="P49" s="4">
        <v>0</v>
      </c>
      <c r="Q49" s="4"/>
      <c r="R49" s="4"/>
      <c r="S49" s="4"/>
      <c r="T49" s="4"/>
      <c r="U49" s="4"/>
      <c r="V49" s="4"/>
      <c r="W49" s="4"/>
      <c r="X49" s="4"/>
      <c r="Y49" s="4">
        <f>MOD(V$4+OBSERVATIONS!$AO$13+I42,360)</f>
        <v>312.49585573603429</v>
      </c>
      <c r="Z49" s="4">
        <f t="shared" si="17"/>
        <v>47.504144263965713</v>
      </c>
      <c r="AA49" s="4">
        <f t="shared" si="25"/>
        <v>-36.45318064657571</v>
      </c>
      <c r="AB49" s="4">
        <f t="shared" si="18"/>
        <v>0</v>
      </c>
      <c r="AC49" s="4">
        <f>ABS(TAN(RADIANS(ABS(OBSERVATIONS!$AO$12)))/TAN(RADIANS(ABS(Z49))))</f>
        <v>0.34629379186739317</v>
      </c>
      <c r="AD49" s="4">
        <f>IF(AB49=0,IF(OBSERVATIONS!$AY$35="N",-AC49,AC49),IF(OBSERVATIONS!$AY$35="N",AC49,-AC49))</f>
        <v>-0.34629379186739317</v>
      </c>
      <c r="AE49" s="4">
        <f t="shared" si="19"/>
        <v>-1.0018595036098654</v>
      </c>
      <c r="AF49" s="4">
        <f t="shared" si="20"/>
        <v>-1.3481532954772586</v>
      </c>
      <c r="AG49" s="4">
        <f>ABS(DEGREES(ATAN(1/(COS(RADIANS(ABS(OBSERVATIONS!$AO$12)))*AF49))))</f>
        <v>38.413392212543698</v>
      </c>
      <c r="AH49" s="4">
        <f t="shared" si="21"/>
        <v>141.5866077874563</v>
      </c>
      <c r="AI49" s="4">
        <f>AA49-OBSERVATIONS!$AO$12</f>
        <v>-57.158180646575708</v>
      </c>
      <c r="AJ49" s="12">
        <f>DEGREES(ASIN(SIN(RADIANS(OBSERVATIONS!$AO$12))*SIN(RADIANS(AA49))+COS(RADIANS(OBSERVATIONS!$AO$12))*COS(RADIANS(AA49))*COS(RADIANS(Y49))))</f>
        <v>17.349396473317164</v>
      </c>
      <c r="AK49" s="12">
        <f t="shared" si="22"/>
        <v>17.349396473317164</v>
      </c>
      <c r="AL49" s="8" t="s">
        <v>58</v>
      </c>
      <c r="AM49" s="12">
        <f t="shared" si="23"/>
        <v>141.5866077874563</v>
      </c>
      <c r="AN49" s="12">
        <f t="shared" si="24"/>
        <v>17.349396473317164</v>
      </c>
      <c r="AO49" s="12"/>
      <c r="AP49" s="12"/>
      <c r="AQ49" s="12"/>
      <c r="AR49" s="12"/>
      <c r="AS49" s="4"/>
      <c r="AT49" s="12"/>
      <c r="AU49" s="13"/>
      <c r="AV49" s="12"/>
      <c r="AW49" s="4"/>
      <c r="AX49" s="12"/>
      <c r="AY49" s="4"/>
      <c r="AZ49" s="4"/>
      <c r="BA49" s="4"/>
      <c r="BB49" s="4"/>
      <c r="BC49" s="4"/>
      <c r="BD49" s="10"/>
      <c r="BF49" s="10"/>
      <c r="BH49" s="10"/>
      <c r="BI49" s="10"/>
      <c r="BJ49" s="10"/>
      <c r="BK49" s="10"/>
      <c r="BL49" s="10"/>
      <c r="BN49" s="10"/>
      <c r="BO49" s="10"/>
      <c r="BP49" s="10"/>
      <c r="BQ49" s="10"/>
      <c r="BX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L49" s="10"/>
      <c r="CM49" s="10"/>
      <c r="CN49" s="10"/>
      <c r="CO49" s="10"/>
      <c r="CP49" s="10"/>
      <c r="CR49" s="10"/>
      <c r="CS49" s="10"/>
      <c r="CT49" s="10"/>
      <c r="CU49" s="10"/>
      <c r="CV49" s="10"/>
      <c r="CW49" s="4"/>
      <c r="CX49" s="4"/>
      <c r="CY49" s="12"/>
      <c r="CZ49" s="4"/>
      <c r="DA49" s="4"/>
      <c r="DB49" s="4"/>
      <c r="DC49" s="4"/>
      <c r="DD49" s="6"/>
      <c r="DE49" s="6"/>
      <c r="DF49" s="6"/>
      <c r="DG49" s="1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</row>
    <row r="50" spans="2:176" s="1" customFormat="1" ht="15" customHeight="1">
      <c r="B50" s="8" t="s">
        <v>66</v>
      </c>
      <c r="C50" s="1">
        <f>(10+8/60+22/3600)</f>
        <v>10.139444444444443</v>
      </c>
      <c r="D50" s="1">
        <f>11+58/60</f>
        <v>11.966666666666667</v>
      </c>
      <c r="E50" s="9">
        <f>MOD(360-(C50+((3.075+1.336*SIN(RADIANS(C50))*TAN(RADIANS(D50)))*(OBSERVATIONS!$U$35-36526)/365)/3600)*15,360)</f>
        <v>207.6691896131293</v>
      </c>
      <c r="F50" s="9">
        <f>D50+(20.04*COS(RADIANS(C50*15))*(OBSERVATIONS!$U$35-36526)/365)/3600</f>
        <v>11.876314199695489</v>
      </c>
      <c r="G50" s="9">
        <f>-17.3*SIN(RADIANS(125-0.05295*(OBSERVATIONS!$U$35-2451545)))-1.4*SIN(RADIANS(200+1.97129*(OBSERVATIONS!$U$35-2451545)))</f>
        <v>6.6308035321601082</v>
      </c>
      <c r="H50" s="9">
        <f>9.4*COS(RADIANS(125-0.05295*(OBSERVATIONS!$U$35-2451545)))+0.7*COS(RADIANS(200+1.97129*(OBSERVATIONS!$U$35-2451545)))</f>
        <v>-7.9109288482141293</v>
      </c>
      <c r="I50" s="10">
        <f t="shared" si="15"/>
        <v>207.66942371537837</v>
      </c>
      <c r="J50" s="10">
        <f t="shared" si="16"/>
        <v>11.875279856939089</v>
      </c>
      <c r="L50" s="11"/>
      <c r="N50" s="4"/>
      <c r="O50" s="15" t="s">
        <v>59</v>
      </c>
      <c r="P50" s="4">
        <v>0</v>
      </c>
      <c r="Q50" s="4"/>
      <c r="R50" s="4"/>
      <c r="S50" s="4"/>
      <c r="T50" s="4"/>
      <c r="U50" s="4"/>
      <c r="V50" s="4"/>
      <c r="W50" s="4"/>
      <c r="X50" s="4"/>
      <c r="Y50" s="4">
        <f>MOD(V$4+OBSERVATIONS!$AO$13+I43,360)</f>
        <v>25.875007465477779</v>
      </c>
      <c r="Z50" s="4">
        <f t="shared" si="17"/>
        <v>25.875007465477779</v>
      </c>
      <c r="AA50" s="4">
        <f t="shared" si="25"/>
        <v>-69.790591471613723</v>
      </c>
      <c r="AB50" s="4">
        <f t="shared" si="18"/>
        <v>0</v>
      </c>
      <c r="AC50" s="4">
        <f>ABS(TAN(RADIANS(ABS(OBSERVATIONS!$AO$12)))/TAN(RADIANS(ABS(Z50))))</f>
        <v>0.77925976921166651</v>
      </c>
      <c r="AD50" s="4">
        <f>IF(AB50=0,IF(OBSERVATIONS!$AY$35="N",-AC50,AC50),IF(OBSERVATIONS!$AY$35="N",AC50,-AC50))</f>
        <v>-0.77925976921166651</v>
      </c>
      <c r="AE50" s="4">
        <f t="shared" si="19"/>
        <v>-6.2247606130893072</v>
      </c>
      <c r="AF50" s="4">
        <f t="shared" si="20"/>
        <v>-7.0040203823009737</v>
      </c>
      <c r="AG50" s="4">
        <f>ABS(DEGREES(ATAN(1/(COS(RADIANS(ABS(OBSERVATIONS!$AO$12)))*AF50))))</f>
        <v>8.6782616992698784</v>
      </c>
      <c r="AH50" s="4">
        <f t="shared" si="21"/>
        <v>188.67826169926988</v>
      </c>
      <c r="AI50" s="4">
        <f>AA50-OBSERVATIONS!$AO$12</f>
        <v>-90.495591471613722</v>
      </c>
      <c r="AJ50" s="12">
        <f>DEGREES(ASIN(SIN(RADIANS(OBSERVATIONS!$AO$12))*SIN(RADIANS(AA50))+COS(RADIANS(OBSERVATIONS!$AO$12))*COS(RADIANS(AA50))*COS(RADIANS(Y50))))</f>
        <v>-2.3523670597790907</v>
      </c>
      <c r="AK50" s="12">
        <f t="shared" si="22"/>
        <v>-2.3523670597790907</v>
      </c>
      <c r="AL50" s="8" t="s">
        <v>59</v>
      </c>
      <c r="AM50" s="12">
        <f t="shared" si="23"/>
        <v>188.67826169926988</v>
      </c>
      <c r="AN50" s="12">
        <f t="shared" si="24"/>
        <v>-2.3523670597790907</v>
      </c>
      <c r="AO50" s="12"/>
      <c r="AP50" s="12"/>
      <c r="AQ50" s="12"/>
      <c r="AR50" s="12"/>
      <c r="AS50" s="4"/>
      <c r="AT50" s="12"/>
      <c r="AU50" s="13"/>
      <c r="AV50" s="12"/>
      <c r="AW50" s="4"/>
      <c r="AX50" s="12"/>
      <c r="AY50" s="4"/>
      <c r="AZ50" s="4"/>
      <c r="BA50" s="4"/>
      <c r="BB50" s="4"/>
      <c r="BC50" s="4"/>
      <c r="BD50" s="10"/>
      <c r="BF50" s="10"/>
      <c r="BH50" s="10"/>
      <c r="BI50" s="10"/>
      <c r="BJ50" s="10"/>
      <c r="BK50" s="10"/>
      <c r="BL50" s="10"/>
      <c r="BN50" s="10"/>
      <c r="BO50" s="10"/>
      <c r="BP50" s="10"/>
      <c r="BQ50" s="10"/>
      <c r="BX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L50" s="10"/>
      <c r="CM50" s="10"/>
      <c r="CN50" s="10"/>
      <c r="CO50" s="10"/>
      <c r="CP50" s="10"/>
      <c r="CR50" s="10"/>
      <c r="CS50" s="10"/>
      <c r="CT50" s="10"/>
      <c r="CU50" s="10"/>
      <c r="CV50" s="10"/>
      <c r="CW50" s="4"/>
      <c r="CX50" s="4"/>
      <c r="CY50" s="12"/>
      <c r="CZ50" s="4"/>
      <c r="DA50" s="4"/>
      <c r="DB50" s="4"/>
      <c r="DC50" s="4"/>
      <c r="DD50" s="6"/>
      <c r="DE50" s="6"/>
      <c r="DF50" s="6"/>
      <c r="DG50" s="1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</row>
    <row r="51" spans="2:176" s="1" customFormat="1" ht="15" customHeight="1">
      <c r="B51" s="8" t="s">
        <v>67</v>
      </c>
      <c r="C51" s="1">
        <f>(5+14/60+33/3600)</f>
        <v>5.2424999999999997</v>
      </c>
      <c r="D51" s="1">
        <f>-8-12.3/60</f>
        <v>-8.2050000000000001</v>
      </c>
      <c r="E51" s="9">
        <f>MOD(360-(C51+((3.075+1.336*SIN(RADIANS(C51))*TAN(RADIANS(D51)))*(OBSERVATIONS!$U$35-36526)/365)/3600)*15,360)</f>
        <v>281.12851828687872</v>
      </c>
      <c r="F51" s="9">
        <f>D51+(20.04*COS(RADIANS(C51*15))*(OBSERVATIONS!$U$35-36526)/365)/3600</f>
        <v>-8.1848563939021446</v>
      </c>
      <c r="G51" s="9">
        <f>-17.3*SIN(RADIANS(125-0.05295*(OBSERVATIONS!$U$35-2451545)))-1.4*SIN(RADIANS(200+1.97129*(OBSERVATIONS!$U$35-2451545)))</f>
        <v>6.6308035321601082</v>
      </c>
      <c r="H51" s="9">
        <f>9.4*COS(RADIANS(125-0.05295*(OBSERVATIONS!$U$35-2451545)))+0.7*COS(RADIANS(200+1.97129*(OBSERVATIONS!$U$35-2451545)))</f>
        <v>-7.9109288482141293</v>
      </c>
      <c r="I51" s="10">
        <f t="shared" si="15"/>
        <v>281.12856666455178</v>
      </c>
      <c r="J51" s="10">
        <f t="shared" si="16"/>
        <v>-8.1849128262971735</v>
      </c>
      <c r="L51" s="11"/>
      <c r="N51" s="4"/>
      <c r="O51" s="15" t="s">
        <v>60</v>
      </c>
      <c r="P51" s="4">
        <v>0</v>
      </c>
      <c r="Q51" s="4"/>
      <c r="R51" s="4"/>
      <c r="S51" s="4"/>
      <c r="T51" s="4"/>
      <c r="U51" s="4"/>
      <c r="V51" s="4"/>
      <c r="W51" s="4"/>
      <c r="X51" s="4"/>
      <c r="Y51" s="4">
        <f>MOD(V$4+OBSERVATIONS!$AO$13+I44,360)</f>
        <v>113.05482959815214</v>
      </c>
      <c r="Z51" s="4">
        <f t="shared" si="17"/>
        <v>113.05482959815214</v>
      </c>
      <c r="AA51" s="4">
        <f t="shared" si="25"/>
        <v>49.926224786472623</v>
      </c>
      <c r="AB51" s="4">
        <f t="shared" si="18"/>
        <v>1</v>
      </c>
      <c r="AC51" s="4">
        <f>ABS(TAN(RADIANS(ABS(OBSERVATIONS!$AO$12)))/TAN(RADIANS(ABS(Z51))))</f>
        <v>0.16086504352583927</v>
      </c>
      <c r="AD51" s="4">
        <f>IF(AB51=0,IF(OBSERVATIONS!$AY$35="N",-AC51,AC51),IF(OBSERVATIONS!$AY$35="N",AC51,-AC51))</f>
        <v>0.16086504352583927</v>
      </c>
      <c r="AE51" s="4">
        <f t="shared" si="19"/>
        <v>1.2918188708185134</v>
      </c>
      <c r="AF51" s="4">
        <f t="shared" si="20"/>
        <v>1.4526839143443526</v>
      </c>
      <c r="AG51" s="4">
        <f>ABS(DEGREES(ATAN(1/(COS(RADIANS(ABS(OBSERVATIONS!$AO$12)))*AF51))))</f>
        <v>36.349766379234715</v>
      </c>
      <c r="AH51" s="4">
        <f t="shared" si="21"/>
        <v>323.65023362076528</v>
      </c>
      <c r="AI51" s="4">
        <f>AA51-OBSERVATIONS!$AO$12</f>
        <v>29.221224786472625</v>
      </c>
      <c r="AJ51" s="12">
        <f>DEGREES(ASIN(SIN(RADIANS(OBSERVATIONS!$AO$12))*SIN(RADIANS(AA51))+COS(RADIANS(OBSERVATIONS!$AO$12))*COS(RADIANS(AA51))*COS(RADIANS(Y51))))</f>
        <v>1.9897528537987632</v>
      </c>
      <c r="AK51" s="12">
        <f t="shared" si="22"/>
        <v>1.9897528537987632</v>
      </c>
      <c r="AL51" s="8" t="s">
        <v>60</v>
      </c>
      <c r="AM51" s="12">
        <f t="shared" si="23"/>
        <v>323.65023362076528</v>
      </c>
      <c r="AN51" s="12">
        <f t="shared" si="24"/>
        <v>1.9897528537987632</v>
      </c>
      <c r="AO51" s="12"/>
      <c r="AP51" s="12"/>
      <c r="AQ51" s="12"/>
      <c r="AR51" s="12"/>
      <c r="AS51" s="4"/>
      <c r="AT51" s="12"/>
      <c r="AU51" s="13"/>
      <c r="AV51" s="12"/>
      <c r="AW51" s="4"/>
      <c r="AX51" s="12"/>
      <c r="AY51" s="4"/>
      <c r="AZ51" s="4"/>
      <c r="BA51" s="4"/>
      <c r="BB51" s="4"/>
      <c r="BC51" s="4"/>
      <c r="BD51" s="10"/>
      <c r="BF51" s="10"/>
      <c r="BH51" s="10"/>
      <c r="BI51" s="10"/>
      <c r="BJ51" s="10"/>
      <c r="BK51" s="10"/>
      <c r="BL51" s="10"/>
      <c r="BN51" s="10"/>
      <c r="BO51" s="10"/>
      <c r="BP51" s="10"/>
      <c r="BQ51" s="10"/>
      <c r="BX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L51" s="10"/>
      <c r="CM51" s="10"/>
      <c r="CN51" s="10"/>
      <c r="CO51" s="10"/>
      <c r="CP51" s="10"/>
      <c r="CR51" s="10"/>
      <c r="CS51" s="10"/>
      <c r="CT51" s="10"/>
      <c r="CU51" s="10"/>
      <c r="CV51" s="10"/>
      <c r="CW51" s="4"/>
      <c r="CX51" s="4"/>
      <c r="CY51" s="12"/>
      <c r="CZ51" s="4"/>
      <c r="DA51" s="4"/>
      <c r="DB51" s="4"/>
      <c r="DC51" s="4"/>
      <c r="DD51" s="6"/>
      <c r="DE51" s="6"/>
      <c r="DF51" s="6"/>
      <c r="DG51" s="1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</row>
    <row r="52" spans="2:176" s="1" customFormat="1" ht="15" customHeight="1">
      <c r="B52" s="8" t="s">
        <v>68</v>
      </c>
      <c r="C52" s="1">
        <f>(14+39/60+37/3600)</f>
        <v>14.660277777777779</v>
      </c>
      <c r="D52" s="1">
        <f>-60-49.8/60</f>
        <v>-60.83</v>
      </c>
      <c r="E52" s="9">
        <f>MOD(360-(C52+((3.075+1.336*SIN(RADIANS(C52))*TAN(RADIANS(D52)))*(OBSERVATIONS!$U$35-36526)/365)/3600)*15,360)</f>
        <v>139.90686221536043</v>
      </c>
      <c r="F52" s="9">
        <f>D52+(20.04*COS(RADIANS(C52*15))*(OBSERVATIONS!$U$35-36526)/365)/3600</f>
        <v>-60.908432997929737</v>
      </c>
      <c r="G52" s="9">
        <f>-17.3*SIN(RADIANS(125-0.05295*(OBSERVATIONS!$U$35-2451545)))-1.4*SIN(RADIANS(200+1.97129*(OBSERVATIONS!$U$35-2451545)))</f>
        <v>6.6308035321601082</v>
      </c>
      <c r="H52" s="9">
        <f>9.4*COS(RADIANS(125-0.05295*(OBSERVATIONS!$U$35-2451545)))+0.7*COS(RADIANS(200+1.97129*(OBSERVATIONS!$U$35-2451545)))</f>
        <v>-7.9109288482141293</v>
      </c>
      <c r="I52" s="10">
        <f t="shared" si="15"/>
        <v>139.90972778263949</v>
      </c>
      <c r="J52" s="10">
        <f t="shared" si="16"/>
        <v>-60.909551222887806</v>
      </c>
      <c r="L52" s="11"/>
      <c r="N52" s="4"/>
      <c r="O52" s="15" t="s">
        <v>61</v>
      </c>
      <c r="P52" s="4">
        <v>0</v>
      </c>
      <c r="Q52" s="4"/>
      <c r="R52" s="4"/>
      <c r="S52" s="4"/>
      <c r="T52" s="4"/>
      <c r="U52" s="4"/>
      <c r="V52" s="4"/>
      <c r="W52" s="4"/>
      <c r="X52" s="4"/>
      <c r="Y52" s="4">
        <f>MOD(V$4+OBSERVATIONS!$AO$13+I45,360)</f>
        <v>240.35457753194623</v>
      </c>
      <c r="Z52" s="4">
        <f t="shared" si="17"/>
        <v>119.64542246805377</v>
      </c>
      <c r="AA52" s="4">
        <f t="shared" si="25"/>
        <v>-26.271141959020309</v>
      </c>
      <c r="AB52" s="4">
        <f t="shared" si="18"/>
        <v>1</v>
      </c>
      <c r="AC52" s="4">
        <f>ABS(TAN(RADIANS(ABS(OBSERVATIONS!$AO$12)))/TAN(RADIANS(ABS(Z52))))</f>
        <v>0.21511236535574649</v>
      </c>
      <c r="AD52" s="4">
        <f>IF(AB52=0,IF(OBSERVATIONS!$AY$35="N",-AC52,AC52),IF(OBSERVATIONS!$AY$35="N",AC52,-AC52))</f>
        <v>0.21511236535574649</v>
      </c>
      <c r="AE52" s="4">
        <f t="shared" si="19"/>
        <v>-0.56794672435157045</v>
      </c>
      <c r="AF52" s="4">
        <f t="shared" si="20"/>
        <v>-0.35283435899582394</v>
      </c>
      <c r="AG52" s="4">
        <f>ABS(DEGREES(ATAN(1/(COS(RADIANS(ABS(OBSERVATIONS!$AO$12)))*AF52))))</f>
        <v>71.734737963679422</v>
      </c>
      <c r="AH52" s="4">
        <f t="shared" si="21"/>
        <v>108.26526203632058</v>
      </c>
      <c r="AI52" s="4">
        <f>AA52-OBSERVATIONS!$AO$12</f>
        <v>-46.97614195902031</v>
      </c>
      <c r="AJ52" s="12">
        <f>DEGREES(ASIN(SIN(RADIANS(OBSERVATIONS!$AO$12))*SIN(RADIANS(AA52))+COS(RADIANS(OBSERVATIONS!$AO$12))*COS(RADIANS(AA52))*COS(RADIANS(Y52))))</f>
        <v>-34.846827225057822</v>
      </c>
      <c r="AK52" s="12">
        <f t="shared" si="22"/>
        <v>-34.846827225057822</v>
      </c>
      <c r="AL52" s="8" t="s">
        <v>61</v>
      </c>
      <c r="AM52" s="12">
        <f t="shared" si="23"/>
        <v>108.26526203632058</v>
      </c>
      <c r="AN52" s="12">
        <f t="shared" si="24"/>
        <v>-34.846827225057822</v>
      </c>
      <c r="AO52" s="12"/>
      <c r="AP52" s="12"/>
      <c r="AQ52" s="12"/>
      <c r="AR52" s="12"/>
      <c r="AS52" s="4"/>
      <c r="AT52" s="12"/>
      <c r="AU52" s="13"/>
      <c r="AV52" s="12"/>
      <c r="AW52" s="4"/>
      <c r="AX52" s="12"/>
      <c r="AY52" s="4"/>
      <c r="AZ52" s="4"/>
      <c r="BA52" s="4"/>
      <c r="BB52" s="4"/>
      <c r="BC52" s="4"/>
      <c r="BD52" s="10"/>
      <c r="BF52" s="10"/>
      <c r="BH52" s="10"/>
      <c r="BI52" s="10"/>
      <c r="BJ52" s="10"/>
      <c r="BK52" s="10"/>
      <c r="BL52" s="10"/>
      <c r="BN52" s="10"/>
      <c r="BO52" s="10"/>
      <c r="BP52" s="10"/>
      <c r="BQ52" s="10"/>
      <c r="BX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L52" s="10"/>
      <c r="CM52" s="10"/>
      <c r="CN52" s="10"/>
      <c r="CO52" s="10"/>
      <c r="CP52" s="10"/>
      <c r="CR52" s="10"/>
      <c r="CS52" s="10"/>
      <c r="CT52" s="10"/>
      <c r="CU52" s="10"/>
      <c r="CV52" s="10"/>
      <c r="CW52" s="4"/>
      <c r="CX52" s="4"/>
      <c r="CY52" s="12"/>
      <c r="CZ52" s="4"/>
      <c r="DA52" s="4"/>
      <c r="DB52" s="4"/>
      <c r="DC52" s="4"/>
      <c r="DD52" s="6"/>
      <c r="DE52" s="6"/>
      <c r="DF52" s="6"/>
      <c r="DG52" s="1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</row>
    <row r="53" spans="2:176" s="1" customFormat="1" ht="15" customHeight="1">
      <c r="B53" s="8" t="s">
        <v>69</v>
      </c>
      <c r="C53" s="1">
        <f>(17+10/60+20/3600)</f>
        <v>17.172222222222224</v>
      </c>
      <c r="D53" s="1">
        <f>-15-43.4/60</f>
        <v>-15.723333333333333</v>
      </c>
      <c r="E53" s="9">
        <f>MOD(360-(C53+((3.075+1.336*SIN(RADIANS(C53))*TAN(RADIANS(D53)))*(OBSERVATIONS!$U$35-36526)/365)/3600)*15,360)</f>
        <v>102.18983632503108</v>
      </c>
      <c r="F53" s="9">
        <f>D53+(20.04*COS(RADIANS(C53*15))*(OBSERVATIONS!$U$35-36526)/365)/3600</f>
        <v>-15.745317704347139</v>
      </c>
      <c r="G53" s="9">
        <f>-17.3*SIN(RADIANS(125-0.05295*(OBSERVATIONS!$U$35-2451545)))-1.4*SIN(RADIANS(200+1.97129*(OBSERVATIONS!$U$35-2451545)))</f>
        <v>6.6308035321601082</v>
      </c>
      <c r="H53" s="9">
        <f>9.4*COS(RADIANS(125-0.05295*(OBSERVATIONS!$U$35-2451545)))+0.7*COS(RADIANS(200+1.97129*(OBSERVATIONS!$U$35-2451545)))</f>
        <v>-7.9109288482141293</v>
      </c>
      <c r="I53" s="10">
        <f t="shared" si="15"/>
        <v>102.18952535194528</v>
      </c>
      <c r="J53" s="10">
        <f t="shared" si="16"/>
        <v>-15.746124044687246</v>
      </c>
      <c r="L53" s="11"/>
      <c r="N53" s="4"/>
      <c r="O53" s="15" t="s">
        <v>62</v>
      </c>
      <c r="P53" s="4">
        <v>0</v>
      </c>
      <c r="Q53" s="4"/>
      <c r="R53" s="4"/>
      <c r="S53" s="4"/>
      <c r="T53" s="4"/>
      <c r="U53" s="4"/>
      <c r="V53" s="4"/>
      <c r="W53" s="4"/>
      <c r="X53" s="4"/>
      <c r="Y53" s="4">
        <f>MOD(V$4+OBSERVATIONS!$AO$13+I46,360)</f>
        <v>217.7989676601938</v>
      </c>
      <c r="Z53" s="4">
        <f t="shared" si="17"/>
        <v>142.2010323398062</v>
      </c>
      <c r="AA53" s="4">
        <f t="shared" si="25"/>
        <v>-56.676331508150298</v>
      </c>
      <c r="AB53" s="4">
        <f t="shared" si="18"/>
        <v>1</v>
      </c>
      <c r="AC53" s="4">
        <f>ABS(TAN(RADIANS(ABS(OBSERVATIONS!$AO$12)))/TAN(RADIANS(ABS(Z53))))</f>
        <v>0.48729185033373029</v>
      </c>
      <c r="AD53" s="4">
        <f>IF(AB53=0,IF(OBSERVATIONS!$AY$35="N",-AC53,AC53),IF(OBSERVATIONS!$AY$35="N",AC53,-AC53))</f>
        <v>0.48729185033373029</v>
      </c>
      <c r="AE53" s="4">
        <f t="shared" si="19"/>
        <v>-2.4816490975601004</v>
      </c>
      <c r="AF53" s="4">
        <f t="shared" si="20"/>
        <v>-1.9943572472263702</v>
      </c>
      <c r="AG53" s="4">
        <f>ABS(DEGREES(ATAN(1/(COS(RADIANS(ABS(OBSERVATIONS!$AO$12)))*AF53))))</f>
        <v>28.19288876250404</v>
      </c>
      <c r="AH53" s="4">
        <f t="shared" si="21"/>
        <v>151.80711123749597</v>
      </c>
      <c r="AI53" s="4">
        <f>AA53-OBSERVATIONS!$AO$12</f>
        <v>-77.381331508150296</v>
      </c>
      <c r="AJ53" s="12">
        <f>DEGREES(ASIN(SIN(RADIANS(OBSERVATIONS!$AO$12))*SIN(RADIANS(AA53))+COS(RADIANS(OBSERVATIONS!$AO$12))*COS(RADIANS(AA53))*COS(RADIANS(Y53))))</f>
        <v>-44.545885555673905</v>
      </c>
      <c r="AK53" s="12">
        <f t="shared" si="22"/>
        <v>-44.545885555673905</v>
      </c>
      <c r="AL53" s="8" t="s">
        <v>62</v>
      </c>
      <c r="AM53" s="12">
        <f t="shared" si="23"/>
        <v>151.80711123749597</v>
      </c>
      <c r="AN53" s="12">
        <f t="shared" si="24"/>
        <v>-44.545885555673905</v>
      </c>
      <c r="AO53" s="12"/>
      <c r="AP53" s="12"/>
      <c r="AQ53" s="12"/>
      <c r="AR53" s="12"/>
      <c r="AS53" s="4"/>
      <c r="AT53" s="12"/>
      <c r="AU53" s="13"/>
      <c r="AV53" s="12"/>
      <c r="AW53" s="4"/>
      <c r="AX53" s="12"/>
      <c r="AY53" s="4"/>
      <c r="AZ53" s="4"/>
      <c r="BA53" s="4"/>
      <c r="BB53" s="4"/>
      <c r="BC53" s="4"/>
      <c r="BD53" s="10"/>
      <c r="BF53" s="10"/>
      <c r="BH53" s="10"/>
      <c r="BI53" s="10"/>
      <c r="BJ53" s="10"/>
      <c r="BK53" s="10"/>
      <c r="BL53" s="10"/>
      <c r="BN53" s="10"/>
      <c r="BO53" s="10"/>
      <c r="BP53" s="10"/>
      <c r="BQ53" s="10"/>
      <c r="BX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L53" s="10"/>
      <c r="CM53" s="10"/>
      <c r="CN53" s="10"/>
      <c r="CO53" s="10"/>
      <c r="CP53" s="10"/>
      <c r="CR53" s="10"/>
      <c r="CS53" s="10"/>
      <c r="CT53" s="10"/>
      <c r="CU53" s="10"/>
      <c r="CV53" s="10"/>
      <c r="CW53" s="4"/>
      <c r="CX53" s="4"/>
      <c r="CY53" s="12"/>
      <c r="CZ53" s="4"/>
      <c r="DA53" s="4"/>
      <c r="DB53" s="4"/>
      <c r="DC53" s="4"/>
      <c r="DD53" s="6"/>
      <c r="DE53" s="6"/>
      <c r="DF53" s="6"/>
      <c r="DG53" s="1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</row>
    <row r="54" spans="2:176" s="1" customFormat="1" ht="15" customHeight="1">
      <c r="B54" s="8" t="s">
        <v>71</v>
      </c>
      <c r="C54" s="1">
        <f>(0+40/60+30/3600)</f>
        <v>0.67499999999999993</v>
      </c>
      <c r="D54" s="1">
        <f>56+32.4/60</f>
        <v>56.54</v>
      </c>
      <c r="E54" s="9">
        <f>MOD(360-(C54+((3.075+1.336*SIN(RADIANS(C54))*TAN(RADIANS(D54)))*(OBSERVATIONS!$U$35-36526)/365)/3600)*15,360)</f>
        <v>349.63784866589685</v>
      </c>
      <c r="F54" s="9">
        <f>D54+(20.04*COS(RADIANS(C54*15))*(OBSERVATIONS!$U$35-36526)/365)/3600</f>
        <v>56.640651368400299</v>
      </c>
      <c r="G54" s="9">
        <f>-17.3*SIN(RADIANS(125-0.05295*(OBSERVATIONS!$U$35-2451545)))-1.4*SIN(RADIANS(200+1.97129*(OBSERVATIONS!$U$35-2451545)))</f>
        <v>6.6308035321601082</v>
      </c>
      <c r="H54" s="9">
        <f>9.4*COS(RADIANS(125-0.05295*(OBSERVATIONS!$U$35-2451545)))+0.7*COS(RADIANS(200+1.97129*(OBSERVATIONS!$U$35-2451545)))</f>
        <v>-7.9109288482141293</v>
      </c>
      <c r="I54" s="10">
        <f t="shared" si="15"/>
        <v>349.64157040882304</v>
      </c>
      <c r="J54" s="10">
        <f t="shared" si="16"/>
        <v>56.641346773622743</v>
      </c>
      <c r="L54" s="11"/>
      <c r="N54" s="4"/>
      <c r="O54" s="15" t="s">
        <v>63</v>
      </c>
      <c r="P54" s="4">
        <v>0</v>
      </c>
      <c r="Q54" s="4"/>
      <c r="R54" s="4"/>
      <c r="S54" s="4"/>
      <c r="T54" s="4"/>
      <c r="U54" s="4"/>
      <c r="V54" s="4"/>
      <c r="W54" s="4"/>
      <c r="X54" s="4"/>
      <c r="Y54" s="4">
        <f>MOD(V$4+OBSERVATIONS!$AO$13+I47,360)</f>
        <v>47.802540764932814</v>
      </c>
      <c r="Z54" s="4">
        <f t="shared" si="17"/>
        <v>47.802540764932814</v>
      </c>
      <c r="AA54" s="4">
        <f t="shared" si="25"/>
        <v>27.979023899529516</v>
      </c>
      <c r="AB54" s="4">
        <f t="shared" si="18"/>
        <v>0</v>
      </c>
      <c r="AC54" s="4">
        <f>ABS(TAN(RADIANS(ABS(OBSERVATIONS!$AO$12)))/TAN(RADIANS(ABS(Z54))))</f>
        <v>0.34269013323818198</v>
      </c>
      <c r="AD54" s="4">
        <f>IF(AB54=0,IF(OBSERVATIONS!$AY$35="N",-AC54,AC54),IF(OBSERVATIONS!$AY$35="N",AC54,-AC54))</f>
        <v>-0.34269013323818198</v>
      </c>
      <c r="AE54" s="4">
        <f t="shared" si="19"/>
        <v>0.71708323862752965</v>
      </c>
      <c r="AF54" s="4">
        <f t="shared" si="20"/>
        <v>0.37439310538934767</v>
      </c>
      <c r="AG54" s="4">
        <f>ABS(DEGREES(ATAN(1/(COS(RADIANS(ABS(OBSERVATIONS!$AO$12)))*AF54))))</f>
        <v>70.699120844945043</v>
      </c>
      <c r="AH54" s="4">
        <f t="shared" si="21"/>
        <v>289.30087915505499</v>
      </c>
      <c r="AI54" s="4">
        <f>AA54-OBSERVATIONS!$AO$12</f>
        <v>7.2740238995295172</v>
      </c>
      <c r="AJ54" s="12">
        <f>DEGREES(ASIN(SIN(RADIANS(OBSERVATIONS!$AO$12))*SIN(RADIANS(AA54))+COS(RADIANS(OBSERVATIONS!$AO$12))*COS(RADIANS(AA54))*COS(RADIANS(Y54))))</f>
        <v>46.115548093756239</v>
      </c>
      <c r="AK54" s="12">
        <f t="shared" si="22"/>
        <v>46.115548093756239</v>
      </c>
      <c r="AL54" s="8" t="s">
        <v>63</v>
      </c>
      <c r="AM54" s="12">
        <f t="shared" si="23"/>
        <v>289.30087915505499</v>
      </c>
      <c r="AN54" s="12">
        <f t="shared" si="24"/>
        <v>46.115548093756239</v>
      </c>
      <c r="AO54" s="12"/>
      <c r="AP54" s="12"/>
      <c r="AQ54" s="12"/>
      <c r="AR54" s="12"/>
      <c r="AS54" s="4"/>
      <c r="AT54" s="12"/>
      <c r="AU54" s="13"/>
      <c r="AV54" s="12"/>
      <c r="AW54" s="4"/>
      <c r="AX54" s="12"/>
      <c r="AY54" s="4"/>
      <c r="AZ54" s="4"/>
      <c r="BA54" s="4"/>
      <c r="BB54" s="4"/>
      <c r="BC54" s="4"/>
      <c r="BD54" s="10"/>
      <c r="BF54" s="10"/>
      <c r="BH54" s="10"/>
      <c r="BI54" s="10"/>
      <c r="BJ54" s="10"/>
      <c r="BK54" s="10"/>
      <c r="BL54" s="10"/>
      <c r="BN54" s="10"/>
      <c r="BO54" s="10"/>
      <c r="BP54" s="10"/>
      <c r="BQ54" s="10"/>
      <c r="BX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L54" s="10"/>
      <c r="CM54" s="10"/>
      <c r="CN54" s="10"/>
      <c r="CO54" s="10"/>
      <c r="CP54" s="10"/>
      <c r="CR54" s="10"/>
      <c r="CS54" s="10"/>
      <c r="CT54" s="10"/>
      <c r="CU54" s="10"/>
      <c r="CV54" s="10"/>
      <c r="CW54" s="4"/>
      <c r="CX54" s="4"/>
      <c r="CY54" s="12"/>
      <c r="CZ54" s="4"/>
      <c r="DA54" s="4"/>
      <c r="DB54" s="4"/>
      <c r="DC54" s="4"/>
      <c r="DD54" s="6"/>
      <c r="DE54" s="6"/>
      <c r="DF54" s="6"/>
      <c r="DG54" s="1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</row>
    <row r="55" spans="2:176" s="1" customFormat="1" ht="15" customHeight="1">
      <c r="B55" s="8" t="s">
        <v>72</v>
      </c>
      <c r="C55" s="1">
        <f>(17+33/60+34/3600)</f>
        <v>17.559444444444445</v>
      </c>
      <c r="D55" s="1">
        <f>-37-6.1/60</f>
        <v>-37.101666666666667</v>
      </c>
      <c r="E55" s="9">
        <f>MOD(360-(C55+((3.075+1.336*SIN(RADIANS(C55))*TAN(RADIANS(D55)))*(OBSERVATIONS!$U$35-36526)/365)/3600)*15,360)</f>
        <v>96.396334934287097</v>
      </c>
      <c r="F55" s="9">
        <f>D55+(20.04*COS(RADIANS(C55*15))*(OBSERVATIONS!$U$35-36526)/365)/3600</f>
        <v>-37.11343303285512</v>
      </c>
      <c r="G55" s="9">
        <f>-17.3*SIN(RADIANS(125-0.05295*(OBSERVATIONS!$U$35-2451545)))-1.4*SIN(RADIANS(200+1.97129*(OBSERVATIONS!$U$35-2451545)))</f>
        <v>6.6308035321601082</v>
      </c>
      <c r="H55" s="9">
        <f>9.4*COS(RADIANS(125-0.05295*(OBSERVATIONS!$U$35-2451545)))+0.7*COS(RADIANS(200+1.97129*(OBSERVATIONS!$U$35-2451545)))</f>
        <v>-7.9109288482141293</v>
      </c>
      <c r="I55" s="10">
        <f t="shared" si="15"/>
        <v>96.397022191913379</v>
      </c>
      <c r="J55" s="10">
        <f t="shared" si="16"/>
        <v>-37.114180322664708</v>
      </c>
      <c r="L55" s="11"/>
      <c r="N55" s="4"/>
      <c r="O55" s="15" t="s">
        <v>64</v>
      </c>
      <c r="P55" s="4">
        <v>0</v>
      </c>
      <c r="Q55" s="4"/>
      <c r="R55" s="4"/>
      <c r="S55" s="4"/>
      <c r="T55" s="4"/>
      <c r="U55" s="4"/>
      <c r="V55" s="4"/>
      <c r="W55" s="4"/>
      <c r="X55" s="4"/>
      <c r="Y55" s="4">
        <f>MOD(V$4+OBSERVATIONS!$AO$13+I48,360)</f>
        <v>49.312727418638133</v>
      </c>
      <c r="Z55" s="4">
        <f t="shared" si="17"/>
        <v>49.312727418638133</v>
      </c>
      <c r="AA55" s="4">
        <f t="shared" si="25"/>
        <v>5.1814660399787034</v>
      </c>
      <c r="AB55" s="4">
        <f t="shared" si="18"/>
        <v>0</v>
      </c>
      <c r="AC55" s="4">
        <f>ABS(TAN(RADIANS(ABS(OBSERVATIONS!$AO$12)))/TAN(RADIANS(ABS(Z55))))</f>
        <v>0.32495792750525465</v>
      </c>
      <c r="AD55" s="4">
        <f>IF(AB55=0,IF(OBSERVATIONS!$AY$35="N",-AC55,AC55),IF(OBSERVATIONS!$AY$35="N",AC55,-AC55))</f>
        <v>-0.32495792750525465</v>
      </c>
      <c r="AE55" s="4">
        <f t="shared" si="19"/>
        <v>0.11958785692467704</v>
      </c>
      <c r="AF55" s="4">
        <f t="shared" si="20"/>
        <v>-0.2053700705805776</v>
      </c>
      <c r="AG55" s="4">
        <f>ABS(DEGREES(ATAN(1/(COS(RADIANS(ABS(OBSERVATIONS!$AO$12)))*AF55))))</f>
        <v>79.125624480790876</v>
      </c>
      <c r="AH55" s="4">
        <f t="shared" si="21"/>
        <v>259.12562448079086</v>
      </c>
      <c r="AI55" s="4">
        <f>AA55-OBSERVATIONS!$AO$12</f>
        <v>-15.523533960021295</v>
      </c>
      <c r="AJ55" s="12">
        <f>DEGREES(ASIN(SIN(RADIANS(OBSERVATIONS!$AO$12))*SIN(RADIANS(AA55))+COS(RADIANS(OBSERVATIONS!$AO$12))*COS(RADIANS(AA55))*COS(RADIANS(Y55))))</f>
        <v>39.736794818489585</v>
      </c>
      <c r="AK55" s="12">
        <f t="shared" si="22"/>
        <v>39.736794818489585</v>
      </c>
      <c r="AL55" s="8" t="s">
        <v>64</v>
      </c>
      <c r="AM55" s="12">
        <f t="shared" si="23"/>
        <v>259.12562448079086</v>
      </c>
      <c r="AN55" s="12">
        <f t="shared" si="24"/>
        <v>39.736794818489585</v>
      </c>
      <c r="AO55" s="12"/>
      <c r="AP55" s="12"/>
      <c r="AQ55" s="12"/>
      <c r="AR55" s="12"/>
      <c r="AS55" s="4"/>
      <c r="AT55" s="12"/>
      <c r="AU55" s="13"/>
      <c r="AV55" s="12"/>
      <c r="AW55" s="4"/>
      <c r="AX55" s="12"/>
      <c r="AY55" s="4"/>
      <c r="AZ55" s="4"/>
      <c r="BA55" s="4"/>
      <c r="BB55" s="4"/>
      <c r="BC55" s="4"/>
      <c r="BD55" s="10"/>
      <c r="BF55" s="10"/>
      <c r="BH55" s="10"/>
      <c r="BI55" s="10"/>
      <c r="BJ55" s="10"/>
      <c r="BK55" s="10"/>
      <c r="BL55" s="10"/>
      <c r="BN55" s="10"/>
      <c r="BO55" s="10"/>
      <c r="BP55" s="10"/>
      <c r="BQ55" s="10"/>
      <c r="BX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L55" s="10"/>
      <c r="CM55" s="10"/>
      <c r="CN55" s="10"/>
      <c r="CO55" s="10"/>
      <c r="CP55" s="10"/>
      <c r="CR55" s="10"/>
      <c r="CS55" s="10"/>
      <c r="CT55" s="10"/>
      <c r="CU55" s="10"/>
      <c r="CV55" s="10"/>
      <c r="CW55" s="4"/>
      <c r="CX55" s="4"/>
      <c r="CY55" s="12"/>
      <c r="CZ55" s="4"/>
      <c r="DA55" s="4"/>
      <c r="DB55" s="4"/>
      <c r="DC55" s="4"/>
      <c r="DD55" s="6"/>
      <c r="DE55" s="6"/>
      <c r="DF55" s="6"/>
      <c r="DG55" s="1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</row>
    <row r="56" spans="2:176" s="1" customFormat="1" ht="15" customHeight="1">
      <c r="B56" s="8" t="s">
        <v>73</v>
      </c>
      <c r="C56" s="1">
        <f>(6+45/60+10/3600)</f>
        <v>6.7527777777777782</v>
      </c>
      <c r="D56" s="1">
        <f>-16-42.9/60</f>
        <v>-16.715</v>
      </c>
      <c r="E56" s="9">
        <f>MOD(360-(C56+((3.075+1.336*SIN(RADIANS(C56))*TAN(RADIANS(D56)))*(OBSERVATIONS!$U$35-36526)/365)/3600)*15,360)</f>
        <v>258.47661488270796</v>
      </c>
      <c r="F56" s="9">
        <f>D56+(20.04*COS(RADIANS(C56*15))*(OBSERVATIONS!$U$35-36526)/365)/3600</f>
        <v>-16.735019666898282</v>
      </c>
      <c r="G56" s="9">
        <f>-17.3*SIN(RADIANS(125-0.05295*(OBSERVATIONS!$U$35-2451545)))-1.4*SIN(RADIANS(200+1.97129*(OBSERVATIONS!$U$35-2451545)))</f>
        <v>6.6308035321601082</v>
      </c>
      <c r="H56" s="9">
        <f>9.4*COS(RADIANS(125-0.05295*(OBSERVATIONS!$U$35-2451545)))+0.7*COS(RADIANS(200+1.97129*(OBSERVATIONS!$U$35-2451545)))</f>
        <v>-7.9109288482141293</v>
      </c>
      <c r="I56" s="10">
        <f t="shared" si="15"/>
        <v>258.47662798523515</v>
      </c>
      <c r="J56" s="10">
        <f t="shared" si="16"/>
        <v>-16.735421524783685</v>
      </c>
      <c r="L56" s="11"/>
      <c r="N56" s="4"/>
      <c r="O56" s="15" t="s">
        <v>65</v>
      </c>
      <c r="P56" s="4">
        <v>0</v>
      </c>
      <c r="Q56" s="4"/>
      <c r="R56" s="4"/>
      <c r="S56" s="4"/>
      <c r="T56" s="4"/>
      <c r="U56" s="4"/>
      <c r="V56" s="4"/>
      <c r="W56" s="4"/>
      <c r="X56" s="4"/>
      <c r="Y56" s="4">
        <f>MOD(V$4+OBSERVATIONS!$AO$13+I49,360)</f>
        <v>260.41178168102226</v>
      </c>
      <c r="Z56" s="4">
        <f t="shared" si="17"/>
        <v>99.588218318977738</v>
      </c>
      <c r="AA56" s="4">
        <f t="shared" si="25"/>
        <v>12.549747507144273</v>
      </c>
      <c r="AB56" s="4">
        <f t="shared" si="18"/>
        <v>1</v>
      </c>
      <c r="AC56" s="4">
        <f>ABS(TAN(RADIANS(ABS(OBSERVATIONS!$AO$12)))/TAN(RADIANS(ABS(Z56))))</f>
        <v>6.3848601028232685E-2</v>
      </c>
      <c r="AD56" s="4">
        <f>IF(AB56=0,IF(OBSERVATIONS!$AY$35="N",-AC56,AC56),IF(OBSERVATIONS!$AY$35="N",AC56,-AC56))</f>
        <v>6.3848601028232685E-2</v>
      </c>
      <c r="AE56" s="4">
        <f t="shared" si="19"/>
        <v>0.22575956099906486</v>
      </c>
      <c r="AF56" s="4">
        <f t="shared" si="20"/>
        <v>0.28960816202729756</v>
      </c>
      <c r="AG56" s="4">
        <f>ABS(DEGREES(ATAN(1/(COS(RADIANS(ABS(OBSERVATIONS!$AO$12)))*AF56))))</f>
        <v>74.84219760017514</v>
      </c>
      <c r="AH56" s="4">
        <f t="shared" si="21"/>
        <v>74.84219760017514</v>
      </c>
      <c r="AI56" s="4">
        <f>AA56-OBSERVATIONS!$AO$12</f>
        <v>-8.1552524928557251</v>
      </c>
      <c r="AJ56" s="12">
        <f>DEGREES(ASIN(SIN(RADIANS(OBSERVATIONS!$AO$12))*SIN(RADIANS(AA56))+COS(RADIANS(OBSERVATIONS!$AO$12))*COS(RADIANS(AA56))*COS(RADIANS(Y56))))</f>
        <v>-4.3162830296470593</v>
      </c>
      <c r="AK56" s="12">
        <f t="shared" si="22"/>
        <v>-4.3162830296470593</v>
      </c>
      <c r="AL56" s="8" t="s">
        <v>65</v>
      </c>
      <c r="AM56" s="12">
        <f t="shared" si="23"/>
        <v>74.84219760017514</v>
      </c>
      <c r="AN56" s="12">
        <f t="shared" si="24"/>
        <v>-4.3162830296470593</v>
      </c>
      <c r="AO56" s="12"/>
      <c r="AP56" s="12"/>
      <c r="AQ56" s="12"/>
      <c r="AR56" s="12"/>
      <c r="AS56" s="4"/>
      <c r="AT56" s="12"/>
      <c r="AU56" s="13"/>
      <c r="AV56" s="12"/>
      <c r="AW56" s="4"/>
      <c r="AX56" s="12"/>
      <c r="AY56" s="4"/>
      <c r="AZ56" s="4"/>
      <c r="BA56" s="4"/>
      <c r="BB56" s="4"/>
      <c r="BC56" s="4"/>
      <c r="BD56" s="10"/>
      <c r="BF56" s="10"/>
      <c r="BH56" s="10"/>
      <c r="BI56" s="10"/>
      <c r="BJ56" s="10"/>
      <c r="BK56" s="10"/>
      <c r="BL56" s="10"/>
      <c r="BN56" s="10"/>
      <c r="BO56" s="10"/>
      <c r="BP56" s="10"/>
      <c r="BQ56" s="10"/>
      <c r="BX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L56" s="10"/>
      <c r="CM56" s="10"/>
      <c r="CN56" s="10"/>
      <c r="CO56" s="10"/>
      <c r="CP56" s="10"/>
      <c r="CR56" s="10"/>
      <c r="CS56" s="10"/>
      <c r="CT56" s="10"/>
      <c r="CU56" s="10"/>
      <c r="CV56" s="10"/>
      <c r="CW56" s="4"/>
      <c r="CX56" s="4"/>
      <c r="CY56" s="12"/>
      <c r="CZ56" s="4"/>
      <c r="DA56" s="4"/>
      <c r="DB56" s="4"/>
      <c r="DC56" s="4"/>
      <c r="DD56" s="6"/>
      <c r="DE56" s="6"/>
      <c r="DF56" s="6"/>
      <c r="DG56" s="1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</row>
    <row r="57" spans="2:176" s="1" customFormat="1" ht="15" customHeight="1">
      <c r="B57" s="8" t="s">
        <v>74</v>
      </c>
      <c r="C57" s="1">
        <f>(13+25/60+11/3600)</f>
        <v>13.419722222222221</v>
      </c>
      <c r="D57" s="1">
        <f>-11-9.5/60</f>
        <v>-11.158333333333333</v>
      </c>
      <c r="E57" s="9">
        <f>MOD(360-(C57+((3.075+1.336*SIN(RADIANS(C57))*TAN(RADIANS(D57)))*(OBSERVATIONS!$U$35-36526)/365)/3600)*15,360)</f>
        <v>158.47351843526985</v>
      </c>
      <c r="F57" s="9">
        <f>D57+(20.04*COS(RADIANS(C57*15))*(OBSERVATIONS!$U$35-36526)/365)/3600</f>
        <v>-11.253595548534733</v>
      </c>
      <c r="G57" s="9">
        <f>-17.3*SIN(RADIANS(125-0.05295*(OBSERVATIONS!$U$35-2451545)))-1.4*SIN(RADIANS(200+1.97129*(OBSERVATIONS!$U$35-2451545)))</f>
        <v>6.6308035321601082</v>
      </c>
      <c r="H57" s="9">
        <f>9.4*COS(RADIANS(125-0.05295*(OBSERVATIONS!$U$35-2451545)))+0.7*COS(RADIANS(200+1.97129*(OBSERVATIONS!$U$35-2451545)))</f>
        <v>-7.9109288482141293</v>
      </c>
      <c r="I57" s="10">
        <f t="shared" si="15"/>
        <v>158.47370906941759</v>
      </c>
      <c r="J57" s="10">
        <f t="shared" si="16"/>
        <v>-11.254788218808519</v>
      </c>
      <c r="L57" s="11"/>
      <c r="N57" s="4"/>
      <c r="O57" s="15" t="s">
        <v>66</v>
      </c>
      <c r="P57" s="4">
        <v>0</v>
      </c>
      <c r="Q57" s="4"/>
      <c r="R57" s="4"/>
      <c r="S57" s="4"/>
      <c r="T57" s="4"/>
      <c r="U57" s="4"/>
      <c r="V57" s="4"/>
      <c r="W57" s="4"/>
      <c r="X57" s="4"/>
      <c r="Y57" s="4">
        <f>MOD(V$4+OBSERVATIONS!$AO$13+I50,360)</f>
        <v>12.047588077912906</v>
      </c>
      <c r="Z57" s="4">
        <f t="shared" si="17"/>
        <v>12.047588077912906</v>
      </c>
      <c r="AA57" s="4">
        <f t="shared" si="25"/>
        <v>11.875279856939089</v>
      </c>
      <c r="AB57" s="4">
        <f t="shared" si="18"/>
        <v>0</v>
      </c>
      <c r="AC57" s="4">
        <f>ABS(TAN(RADIANS(ABS(OBSERVATIONS!$AO$12)))/TAN(RADIANS(ABS(Z57))))</f>
        <v>1.770966755809674</v>
      </c>
      <c r="AD57" s="4">
        <f>IF(AB57=0,IF(OBSERVATIONS!$AY$35="N",-AC57,AC57),IF(OBSERVATIONS!$AY$35="N",AC57,-AC57))</f>
        <v>-1.770966755809674</v>
      </c>
      <c r="AE57" s="4">
        <f t="shared" si="19"/>
        <v>1.0074665475962896</v>
      </c>
      <c r="AF57" s="4">
        <f t="shared" si="20"/>
        <v>-0.76350020821338438</v>
      </c>
      <c r="AG57" s="4">
        <f>ABS(DEGREES(ATAN(1/(COS(RADIANS(ABS(OBSERVATIONS!$AO$12)))*AF57))))</f>
        <v>54.46602356549905</v>
      </c>
      <c r="AH57" s="4">
        <f t="shared" si="21"/>
        <v>234.46602356549906</v>
      </c>
      <c r="AI57" s="4">
        <f>AA57-OBSERVATIONS!$AO$12</f>
        <v>-8.8297201430609089</v>
      </c>
      <c r="AJ57" s="12">
        <f>DEGREES(ASIN(SIN(RADIANS(OBSERVATIONS!$AO$12))*SIN(RADIANS(AA57))+COS(RADIANS(OBSERVATIONS!$AO$12))*COS(RADIANS(AA57))*COS(RADIANS(Y57))))</f>
        <v>75.463278083533964</v>
      </c>
      <c r="AK57" s="12">
        <f t="shared" si="22"/>
        <v>75.463278083533964</v>
      </c>
      <c r="AL57" s="8" t="s">
        <v>66</v>
      </c>
      <c r="AM57" s="12">
        <f t="shared" si="23"/>
        <v>234.46602356549906</v>
      </c>
      <c r="AN57" s="12">
        <f t="shared" si="24"/>
        <v>75.463278083533964</v>
      </c>
      <c r="AO57" s="12"/>
      <c r="AP57" s="12"/>
      <c r="AQ57" s="12"/>
      <c r="AR57" s="12"/>
      <c r="AS57" s="4"/>
      <c r="AT57" s="12"/>
      <c r="AU57" s="13"/>
      <c r="AV57" s="12"/>
      <c r="AW57" s="4"/>
      <c r="AX57" s="12"/>
      <c r="AY57" s="4"/>
      <c r="AZ57" s="4"/>
      <c r="BA57" s="4"/>
      <c r="BB57" s="4"/>
      <c r="BC57" s="4"/>
      <c r="BD57" s="10"/>
      <c r="BF57" s="10"/>
      <c r="BH57" s="10"/>
      <c r="BI57" s="10"/>
      <c r="BJ57" s="10"/>
      <c r="BK57" s="10"/>
      <c r="BL57" s="10"/>
      <c r="BN57" s="10"/>
      <c r="BO57" s="10"/>
      <c r="BP57" s="10"/>
      <c r="BQ57" s="10"/>
      <c r="BX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L57" s="10"/>
      <c r="CM57" s="10"/>
      <c r="CN57" s="10"/>
      <c r="CO57" s="10"/>
      <c r="CP57" s="10"/>
      <c r="CR57" s="10"/>
      <c r="CS57" s="10"/>
      <c r="CT57" s="10"/>
      <c r="CU57" s="10"/>
      <c r="CV57" s="10"/>
      <c r="CW57" s="4"/>
      <c r="CX57" s="4"/>
      <c r="CY57" s="12"/>
      <c r="CZ57" s="4"/>
      <c r="DA57" s="4"/>
      <c r="DB57" s="4"/>
      <c r="DC57" s="4"/>
      <c r="DD57" s="6"/>
      <c r="DE57" s="6"/>
      <c r="DF57" s="6"/>
      <c r="DG57" s="1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</row>
    <row r="58" spans="2:176" s="1" customFormat="1" ht="15" customHeight="1">
      <c r="B58" s="8" t="s">
        <v>75</v>
      </c>
      <c r="C58" s="1">
        <f>(9+8/60+1/3600)</f>
        <v>9.1336111111111098</v>
      </c>
      <c r="D58" s="1">
        <f>-43-25.8/60</f>
        <v>-43.43</v>
      </c>
      <c r="E58" s="9">
        <f>MOD(360-(C58+((3.075+1.336*SIN(RADIANS(C58))*TAN(RADIANS(D58)))*(OBSERVATIONS!$U$35-36526)/365)/3600)*15,360)</f>
        <v>222.77586850558458</v>
      </c>
      <c r="F58" s="9">
        <f>D58+(20.04*COS(RADIANS(C58*15))*(OBSERVATIONS!$U$35-36526)/365)/3600</f>
        <v>-43.504781344776468</v>
      </c>
      <c r="G58" s="9">
        <f>-17.3*SIN(RADIANS(125-0.05295*(OBSERVATIONS!$U$35-2451545)))-1.4*SIN(RADIANS(200+1.97129*(OBSERVATIONS!$U$35-2451545)))</f>
        <v>6.6308035321601082</v>
      </c>
      <c r="H58" s="9">
        <f>9.4*COS(RADIANS(125-0.05295*(OBSERVATIONS!$U$35-2451545)))+0.7*COS(RADIANS(200+1.97129*(OBSERVATIONS!$U$35-2451545)))</f>
        <v>-7.9109288482141293</v>
      </c>
      <c r="I58" s="10">
        <f t="shared" si="15"/>
        <v>222.77708106886905</v>
      </c>
      <c r="J58" s="10">
        <f t="shared" si="16"/>
        <v>-43.505666068781764</v>
      </c>
      <c r="L58" s="11"/>
      <c r="N58" s="4"/>
      <c r="O58" s="15" t="s">
        <v>67</v>
      </c>
      <c r="P58" s="4">
        <v>0</v>
      </c>
      <c r="Q58" s="4"/>
      <c r="R58" s="4"/>
      <c r="S58" s="4"/>
      <c r="T58" s="4"/>
      <c r="U58" s="4"/>
      <c r="V58" s="4"/>
      <c r="W58" s="4"/>
      <c r="X58" s="4"/>
      <c r="Y58" s="4">
        <f>MOD(V$4+OBSERVATIONS!$AO$13+I51,360)</f>
        <v>85.506731027086289</v>
      </c>
      <c r="Z58" s="4">
        <f t="shared" si="17"/>
        <v>85.506731027086289</v>
      </c>
      <c r="AA58" s="4">
        <f t="shared" si="25"/>
        <v>-8.1849128262971735</v>
      </c>
      <c r="AB58" s="4">
        <f t="shared" si="18"/>
        <v>0</v>
      </c>
      <c r="AC58" s="4">
        <f>ABS(TAN(RADIANS(ABS(OBSERVATIONS!$AO$12)))/TAN(RADIANS(ABS(Z58))))</f>
        <v>2.9702067965278668E-2</v>
      </c>
      <c r="AD58" s="4">
        <f>IF(AB58=0,IF(OBSERVATIONS!$AY$35="N",-AC58,AC58),IF(OBSERVATIONS!$AY$35="N",AC58,-AC58))</f>
        <v>-2.9702067965278668E-2</v>
      </c>
      <c r="AE58" s="4">
        <f t="shared" si="19"/>
        <v>-0.14427685123692813</v>
      </c>
      <c r="AF58" s="4">
        <f t="shared" si="20"/>
        <v>-0.17397891920220679</v>
      </c>
      <c r="AG58" s="4">
        <f>ABS(DEGREES(ATAN(1/(COS(RADIANS(ABS(OBSERVATIONS!$AO$12)))*AF58))))</f>
        <v>80.756595690502365</v>
      </c>
      <c r="AH58" s="4">
        <f t="shared" si="21"/>
        <v>260.75659569050237</v>
      </c>
      <c r="AI58" s="4">
        <f>AA58-OBSERVATIONS!$AO$12</f>
        <v>-28.88991282629717</v>
      </c>
      <c r="AJ58" s="12">
        <f>DEGREES(ASIN(SIN(RADIANS(OBSERVATIONS!$AO$12))*SIN(RADIANS(AA58))+COS(RADIANS(OBSERVATIONS!$AO$12))*COS(RADIANS(AA58))*COS(RADIANS(Y58))))</f>
        <v>1.2720946173992747</v>
      </c>
      <c r="AK58" s="12">
        <f t="shared" si="22"/>
        <v>1.2720946173992747</v>
      </c>
      <c r="AL58" s="8" t="s">
        <v>67</v>
      </c>
      <c r="AM58" s="12">
        <f t="shared" si="23"/>
        <v>260.75659569050237</v>
      </c>
      <c r="AN58" s="12">
        <f t="shared" si="24"/>
        <v>1.2720946173992747</v>
      </c>
      <c r="AO58" s="12"/>
      <c r="AP58" s="12"/>
      <c r="AQ58" s="12"/>
      <c r="AR58" s="12"/>
      <c r="AS58" s="4"/>
      <c r="AT58" s="12"/>
      <c r="AU58" s="13"/>
      <c r="AV58" s="12"/>
      <c r="AW58" s="4"/>
      <c r="AX58" s="12"/>
      <c r="AY58" s="4"/>
      <c r="AZ58" s="4"/>
      <c r="BA58" s="4"/>
      <c r="BB58" s="4"/>
      <c r="BC58" s="4"/>
      <c r="BD58" s="10"/>
      <c r="BF58" s="10"/>
      <c r="BH58" s="10"/>
      <c r="BI58" s="10"/>
      <c r="BJ58" s="10"/>
      <c r="BK58" s="10"/>
      <c r="BL58" s="10"/>
      <c r="BN58" s="10"/>
      <c r="BO58" s="10"/>
      <c r="BP58" s="10"/>
      <c r="BQ58" s="10"/>
      <c r="BX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L58" s="10"/>
      <c r="CM58" s="10"/>
      <c r="CN58" s="10"/>
      <c r="CO58" s="10"/>
      <c r="CP58" s="10"/>
      <c r="CR58" s="10"/>
      <c r="CS58" s="10"/>
      <c r="CT58" s="10"/>
      <c r="CU58" s="10"/>
      <c r="CV58" s="10"/>
      <c r="CW58" s="4"/>
      <c r="CX58" s="4"/>
      <c r="CY58" s="12"/>
      <c r="CZ58" s="4"/>
      <c r="DA58" s="4"/>
      <c r="DB58" s="4"/>
      <c r="DC58" s="4"/>
      <c r="DD58" s="6"/>
      <c r="DE58" s="6"/>
      <c r="DF58" s="6"/>
      <c r="DG58" s="1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</row>
    <row r="59" spans="2:176" s="1" customFormat="1" ht="15" customHeight="1">
      <c r="B59" s="8" t="s">
        <v>76</v>
      </c>
      <c r="C59" s="1">
        <f>(18+36/60+54/3600)</f>
        <v>18.615000000000002</v>
      </c>
      <c r="D59" s="1">
        <f>38+47/60</f>
        <v>38.783333333333331</v>
      </c>
      <c r="E59" s="9">
        <f>MOD(360-(C59+((3.075+1.336*SIN(RADIANS(C59))*TAN(RADIANS(D59)))*(OBSERVATIONS!$U$35-36526)/365)/3600)*15,360)</f>
        <v>80.513446092241054</v>
      </c>
      <c r="F59" s="9">
        <f>D59+(20.04*COS(RADIANS(C59*15))*(OBSERVATIONS!$U$35-36526)/365)/3600</f>
        <v>38.799724206776261</v>
      </c>
      <c r="G59" s="9">
        <f>-17.3*SIN(RADIANS(125-0.05295*(OBSERVATIONS!$U$35-2451545)))-1.4*SIN(RADIANS(200+1.97129*(OBSERVATIONS!$U$35-2451545)))</f>
        <v>6.6308035321601082</v>
      </c>
      <c r="H59" s="9">
        <f>9.4*COS(RADIANS(125-0.05295*(OBSERVATIONS!$U$35-2451545)))+0.7*COS(RADIANS(200+1.97129*(OBSERVATIONS!$U$35-2451545)))</f>
        <v>-7.9109288482141293</v>
      </c>
      <c r="I59" s="10">
        <f t="shared" si="15"/>
        <v>80.513471664494688</v>
      </c>
      <c r="J59" s="10">
        <f t="shared" si="16"/>
        <v>38.799140215902774</v>
      </c>
      <c r="L59" s="11"/>
      <c r="N59" s="4"/>
      <c r="O59" s="15" t="s">
        <v>68</v>
      </c>
      <c r="P59" s="4">
        <v>0</v>
      </c>
      <c r="Q59" s="4"/>
      <c r="R59" s="4"/>
      <c r="S59" s="4"/>
      <c r="T59" s="4"/>
      <c r="U59" s="4"/>
      <c r="V59" s="4"/>
      <c r="W59" s="4"/>
      <c r="X59" s="4"/>
      <c r="Y59" s="4">
        <f>MOD(V$4+OBSERVATIONS!$AO$13+I52,360)</f>
        <v>304.287892145174</v>
      </c>
      <c r="Z59" s="4">
        <f t="shared" si="17"/>
        <v>55.712107854826002</v>
      </c>
      <c r="AA59" s="4">
        <f t="shared" si="25"/>
        <v>-60.909551222887806</v>
      </c>
      <c r="AB59" s="4">
        <f t="shared" si="18"/>
        <v>0</v>
      </c>
      <c r="AC59" s="4">
        <f>ABS(TAN(RADIANS(ABS(OBSERVATIONS!$AO$12)))/TAN(RADIANS(ABS(Z59))))</f>
        <v>0.25771542960699773</v>
      </c>
      <c r="AD59" s="4">
        <f>IF(AB59=0,IF(OBSERVATIONS!$AY$35="N",-AC59,AC59),IF(OBSERVATIONS!$AY$35="N",AC59,-AC59))</f>
        <v>-0.25771542960699773</v>
      </c>
      <c r="AE59" s="4">
        <f t="shared" si="19"/>
        <v>-2.1753965611689652</v>
      </c>
      <c r="AF59" s="4">
        <f t="shared" si="20"/>
        <v>-2.4331119907759629</v>
      </c>
      <c r="AG59" s="4">
        <f>ABS(DEGREES(ATAN(1/(COS(RADIANS(ABS(OBSERVATIONS!$AO$12)))*AF59))))</f>
        <v>23.719441003137522</v>
      </c>
      <c r="AH59" s="4">
        <f t="shared" si="21"/>
        <v>156.28055899686248</v>
      </c>
      <c r="AI59" s="4">
        <f>AA59-OBSERVATIONS!$AO$12</f>
        <v>-81.614551222887798</v>
      </c>
      <c r="AJ59" s="12">
        <f>DEGREES(ASIN(SIN(RADIANS(OBSERVATIONS!$AO$12))*SIN(RADIANS(AA59))+COS(RADIANS(OBSERVATIONS!$AO$12))*COS(RADIANS(AA59))*COS(RADIANS(Y59))))</f>
        <v>-3.0238045511717222</v>
      </c>
      <c r="AK59" s="12">
        <f t="shared" si="22"/>
        <v>-3.0238045511717222</v>
      </c>
      <c r="AL59" s="8" t="s">
        <v>68</v>
      </c>
      <c r="AM59" s="12">
        <f t="shared" si="23"/>
        <v>156.28055899686248</v>
      </c>
      <c r="AN59" s="12">
        <f t="shared" si="24"/>
        <v>-3.0238045511717222</v>
      </c>
      <c r="AO59" s="12"/>
      <c r="AP59" s="12"/>
      <c r="AQ59" s="12"/>
      <c r="AR59" s="12"/>
      <c r="AS59" s="4"/>
      <c r="AT59" s="12"/>
      <c r="AU59" s="13"/>
      <c r="AV59" s="12"/>
      <c r="AW59" s="4"/>
      <c r="AX59" s="12"/>
      <c r="AY59" s="4"/>
      <c r="AZ59" s="4"/>
      <c r="BA59" s="4"/>
      <c r="BB59" s="4"/>
      <c r="BC59" s="4"/>
      <c r="BD59" s="10"/>
      <c r="BF59" s="10"/>
      <c r="BH59" s="10"/>
      <c r="BI59" s="10"/>
      <c r="BJ59" s="10"/>
      <c r="BK59" s="10"/>
      <c r="BL59" s="10"/>
      <c r="BN59" s="10"/>
      <c r="BO59" s="10"/>
      <c r="BP59" s="10"/>
      <c r="BQ59" s="10"/>
      <c r="BX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L59" s="10"/>
      <c r="CM59" s="10"/>
      <c r="CN59" s="10"/>
      <c r="CO59" s="10"/>
      <c r="CP59" s="10"/>
      <c r="CR59" s="10"/>
      <c r="CS59" s="10"/>
      <c r="CT59" s="10"/>
      <c r="CU59" s="10"/>
      <c r="CV59" s="10"/>
      <c r="CW59" s="4"/>
      <c r="CX59" s="4"/>
      <c r="CY59" s="12"/>
      <c r="CZ59" s="4"/>
      <c r="DA59" s="4"/>
      <c r="DB59" s="4"/>
      <c r="DC59" s="4"/>
      <c r="DD59" s="6"/>
      <c r="DE59" s="6"/>
      <c r="DF59" s="6"/>
      <c r="DG59" s="1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</row>
    <row r="60" spans="2:176" s="1" customFormat="1" ht="15" customHeight="1">
      <c r="B60" s="8" t="s">
        <v>78</v>
      </c>
      <c r="C60" s="1">
        <f>(14+50/60+51/3600)</f>
        <v>14.8475</v>
      </c>
      <c r="D60" s="1">
        <f>-16-2.3/60</f>
        <v>-16.038333333333334</v>
      </c>
      <c r="E60" s="9">
        <f>MOD(360-(C60+((3.075+1.336*SIN(RADIANS(C60))*TAN(RADIANS(D60)))*(OBSERVATIONS!$U$35-36526)/365)/3600)*15,360)</f>
        <v>137.05970283506656</v>
      </c>
      <c r="F60" s="9">
        <f>D60+(20.04*COS(RADIANS(C60*15))*(OBSERVATIONS!$U$35-36526)/365)/3600</f>
        <v>-16.113458557272239</v>
      </c>
      <c r="G60" s="9">
        <f>-17.3*SIN(RADIANS(125-0.05295*(OBSERVATIONS!$U$35-2451545)))-1.4*SIN(RADIANS(200+1.97129*(OBSERVATIONS!$U$35-2451545)))</f>
        <v>6.6308035321601082</v>
      </c>
      <c r="H60" s="9">
        <f>9.4*COS(RADIANS(125-0.05295*(OBSERVATIONS!$U$35-2451545)))+0.7*COS(RADIANS(200+1.97129*(OBSERVATIONS!$U$35-2451545)))</f>
        <v>-7.9109288482141293</v>
      </c>
      <c r="I60" s="10">
        <f t="shared" si="15"/>
        <v>137.05976317558893</v>
      </c>
      <c r="J60" s="10">
        <f t="shared" si="16"/>
        <v>-16.114560021715072</v>
      </c>
      <c r="L60" s="11"/>
      <c r="N60" s="4"/>
      <c r="O60" s="15" t="s">
        <v>69</v>
      </c>
      <c r="P60" s="4">
        <v>0</v>
      </c>
      <c r="Q60" s="4"/>
      <c r="R60" s="4"/>
      <c r="S60" s="4"/>
      <c r="T60" s="4"/>
      <c r="U60" s="4"/>
      <c r="V60" s="4"/>
      <c r="W60" s="4"/>
      <c r="X60" s="4"/>
      <c r="Y60" s="4">
        <f>MOD(V$4+OBSERVATIONS!$AO$13+I53,360)</f>
        <v>266.5676897144798</v>
      </c>
      <c r="Z60" s="4">
        <f t="shared" si="17"/>
        <v>93.432310285520202</v>
      </c>
      <c r="AA60" s="4">
        <f t="shared" si="25"/>
        <v>-15.746124044687246</v>
      </c>
      <c r="AB60" s="4">
        <f t="shared" si="18"/>
        <v>1</v>
      </c>
      <c r="AC60" s="4">
        <f>ABS(TAN(RADIANS(ABS(OBSERVATIONS!$AO$12)))/TAN(RADIANS(ABS(Z60))))</f>
        <v>2.2669354901751145E-2</v>
      </c>
      <c r="AD60" s="4">
        <f>IF(AB60=0,IF(OBSERVATIONS!$AY$35="N",-AC60,AC60),IF(OBSERVATIONS!$AY$35="N",AC60,-AC60))</f>
        <v>2.2669354901751145E-2</v>
      </c>
      <c r="AE60" s="4">
        <f t="shared" si="19"/>
        <v>-0.28246281545488372</v>
      </c>
      <c r="AF60" s="4">
        <f t="shared" si="20"/>
        <v>-0.25979346055313257</v>
      </c>
      <c r="AG60" s="4">
        <f>ABS(DEGREES(ATAN(1/(COS(RADIANS(ABS(OBSERVATIONS!$AO$12)))*AF60))))</f>
        <v>76.341082165002234</v>
      </c>
      <c r="AH60" s="4">
        <f t="shared" si="21"/>
        <v>103.65891783499777</v>
      </c>
      <c r="AI60" s="4">
        <f>AA60-OBSERVATIONS!$AO$12</f>
        <v>-36.451124044687248</v>
      </c>
      <c r="AJ60" s="12">
        <f>DEGREES(ASIN(SIN(RADIANS(OBSERVATIONS!$AO$12))*SIN(RADIANS(AA60))+COS(RADIANS(OBSERVATIONS!$AO$12))*COS(RADIANS(AA60))*COS(RADIANS(Y60))))</f>
        <v>-8.6180868006146536</v>
      </c>
      <c r="AK60" s="12">
        <f t="shared" si="22"/>
        <v>-8.6180868006146536</v>
      </c>
      <c r="AL60" s="8" t="s">
        <v>69</v>
      </c>
      <c r="AM60" s="12">
        <f t="shared" si="23"/>
        <v>103.65891783499777</v>
      </c>
      <c r="AN60" s="12">
        <f t="shared" si="24"/>
        <v>-8.6180868006146536</v>
      </c>
      <c r="AO60" s="12"/>
      <c r="AP60" s="12"/>
      <c r="AQ60" s="12"/>
      <c r="AR60" s="12"/>
      <c r="AS60" s="4"/>
      <c r="AT60" s="12"/>
      <c r="AU60" s="13"/>
      <c r="AV60" s="12"/>
      <c r="AW60" s="4"/>
      <c r="AX60" s="12"/>
      <c r="AY60" s="4"/>
      <c r="AZ60" s="4"/>
      <c r="BA60" s="4"/>
      <c r="BB60" s="4"/>
      <c r="BC60" s="4"/>
      <c r="BD60" s="10"/>
      <c r="BF60" s="10"/>
      <c r="BH60" s="10"/>
      <c r="BI60" s="10"/>
      <c r="BJ60" s="10"/>
      <c r="BK60" s="10"/>
      <c r="BL60" s="10"/>
      <c r="BN60" s="10"/>
      <c r="BO60" s="10"/>
      <c r="BP60" s="10"/>
      <c r="BQ60" s="10"/>
      <c r="BX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L60" s="10"/>
      <c r="CM60" s="10"/>
      <c r="CN60" s="10"/>
      <c r="CO60" s="10"/>
      <c r="CP60" s="10"/>
      <c r="CR60" s="10"/>
      <c r="CS60" s="10"/>
      <c r="CT60" s="10"/>
      <c r="CU60" s="10"/>
      <c r="CV60" s="10"/>
      <c r="CW60" s="4"/>
      <c r="CX60" s="4"/>
      <c r="CY60" s="12"/>
      <c r="CZ60" s="4"/>
      <c r="DA60" s="4"/>
      <c r="DB60" s="4"/>
      <c r="DC60" s="4"/>
      <c r="DD60" s="6"/>
      <c r="DE60" s="6"/>
      <c r="DF60" s="6"/>
      <c r="DG60" s="1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</row>
    <row r="61" spans="2:176" s="1" customFormat="1" ht="15" customHeight="1">
      <c r="B61" s="8"/>
      <c r="L61" s="11"/>
      <c r="N61" s="4"/>
      <c r="O61" s="15" t="s">
        <v>70</v>
      </c>
      <c r="P61" s="4">
        <v>1</v>
      </c>
      <c r="Q61" s="4">
        <f>IK4</f>
        <v>175.02833895527712</v>
      </c>
      <c r="R61" s="4">
        <f>IK5</f>
        <v>179.09199974411752</v>
      </c>
      <c r="S61" s="4">
        <f>IK6</f>
        <v>188.98457725344443</v>
      </c>
      <c r="T61" s="4">
        <f>IJ4</f>
        <v>-22.271961161720185</v>
      </c>
      <c r="U61" s="4">
        <f>IJ5</f>
        <v>-22.631249400526148</v>
      </c>
      <c r="V61" s="4">
        <f>IJ6</f>
        <v>-22.272055371176805</v>
      </c>
      <c r="W61" s="4"/>
      <c r="X61" s="4"/>
      <c r="Y61" s="4">
        <f>MOD(Q61+OBSERVATIONS!$AO$13,360)</f>
        <v>244.9533389552771</v>
      </c>
      <c r="Z61" s="4">
        <f t="shared" si="17"/>
        <v>115.0466610447229</v>
      </c>
      <c r="AA61" s="4">
        <f>T61</f>
        <v>-22.271961161720185</v>
      </c>
      <c r="AB61" s="4">
        <f t="shared" si="18"/>
        <v>1</v>
      </c>
      <c r="AC61" s="4">
        <f>ABS(TAN(RADIANS(ABS(OBSERVATIONS!$AO$12)))/TAN(RADIANS(ABS(Z61))))</f>
        <v>0.17662437304035233</v>
      </c>
      <c r="AD61" s="4">
        <f>IF(AB61=0,IF(OBSERVATIONS!$AY$35="N",-AC61,AC61),IF(OBSERVATIONS!$AY$35="N",AC61,-AC61))</f>
        <v>0.17662437304035233</v>
      </c>
      <c r="AE61" s="4">
        <f t="shared" si="19"/>
        <v>-0.45206943141215739</v>
      </c>
      <c r="AF61" s="4">
        <f t="shared" si="20"/>
        <v>-0.27544505837180505</v>
      </c>
      <c r="AG61" s="4">
        <f>ABS(DEGREES(ATAN(1/(COS(RADIANS(ABS(OBSERVATIONS!$AO$12)))*AF61))))</f>
        <v>75.551709905267415</v>
      </c>
      <c r="AH61" s="4">
        <f t="shared" si="21"/>
        <v>104.44829009473258</v>
      </c>
      <c r="AI61" s="4">
        <f>AA61-OBSERVATIONS!$AO$12</f>
        <v>-42.976961161720183</v>
      </c>
      <c r="AJ61" s="12">
        <f>DEGREES(ASIN(SIN(RADIANS(OBSERVATIONS!$AO$12))*SIN(RADIANS(AA61))+COS(RADIANS(OBSERVATIONS!$AO$12))*COS(RADIANS(AA61))*COS(RADIANS(Y61))))</f>
        <v>-30.030943342130922</v>
      </c>
      <c r="AK61" s="12">
        <f t="shared" si="22"/>
        <v>-30.030943342130922</v>
      </c>
      <c r="AL61" s="8" t="s">
        <v>70</v>
      </c>
      <c r="AM61" s="12">
        <f t="shared" si="23"/>
        <v>104.44829009473258</v>
      </c>
      <c r="AN61" s="12">
        <f t="shared" si="24"/>
        <v>-30.030943342130922</v>
      </c>
      <c r="AO61" s="12"/>
      <c r="AP61" s="12"/>
      <c r="AQ61" s="12"/>
      <c r="AR61" s="12"/>
      <c r="AS61" s="4"/>
      <c r="AT61" s="12"/>
      <c r="AU61" s="13"/>
      <c r="AV61" s="12"/>
      <c r="AW61" s="4"/>
      <c r="AX61" s="12"/>
      <c r="AY61" s="4"/>
      <c r="AZ61" s="4"/>
      <c r="BA61" s="4"/>
      <c r="BB61" s="4"/>
      <c r="BC61" s="4"/>
      <c r="BD61" s="10"/>
      <c r="BF61" s="10"/>
      <c r="BH61" s="10"/>
      <c r="BI61" s="10"/>
      <c r="BJ61" s="10"/>
      <c r="BK61" s="10"/>
      <c r="BL61" s="10"/>
      <c r="BN61" s="10"/>
      <c r="BO61" s="10"/>
      <c r="BP61" s="10"/>
      <c r="BQ61" s="10"/>
      <c r="BX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L61" s="10"/>
      <c r="CM61" s="10"/>
      <c r="CN61" s="10"/>
      <c r="CO61" s="10"/>
      <c r="CP61" s="10"/>
      <c r="CR61" s="10"/>
      <c r="CS61" s="10"/>
      <c r="CT61" s="10"/>
      <c r="CU61" s="10"/>
      <c r="CV61" s="10"/>
      <c r="CW61" s="4"/>
      <c r="CX61" s="4"/>
      <c r="CY61" s="12"/>
      <c r="CZ61" s="4"/>
      <c r="DA61" s="4"/>
      <c r="DB61" s="4"/>
      <c r="DC61" s="4"/>
      <c r="DD61" s="6"/>
      <c r="DE61" s="6"/>
      <c r="DF61" s="6"/>
      <c r="DG61" s="1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</row>
    <row r="62" spans="2:176" s="1" customFormat="1" ht="15" customHeight="1">
      <c r="B62" s="8"/>
      <c r="C62" s="8"/>
      <c r="D62" s="8"/>
      <c r="E62" s="8"/>
      <c r="F62" s="8"/>
      <c r="G62" s="8"/>
      <c r="N62" s="4"/>
      <c r="O62" s="15" t="s">
        <v>71</v>
      </c>
      <c r="P62" s="4">
        <v>0</v>
      </c>
      <c r="Q62" s="17"/>
      <c r="R62" s="4"/>
      <c r="S62" s="4"/>
      <c r="T62" s="4"/>
      <c r="U62" s="4"/>
      <c r="V62" s="4"/>
      <c r="W62" s="4"/>
      <c r="X62" s="4"/>
      <c r="Y62" s="4">
        <f>MOD(V$4+OBSERVATIONS!$AO$13+I54,360)</f>
        <v>154.01973477135755</v>
      </c>
      <c r="Z62" s="4">
        <f t="shared" si="17"/>
        <v>154.01973477135755</v>
      </c>
      <c r="AA62" s="4">
        <f t="shared" ref="AA62:AA67" si="26">J54</f>
        <v>56.641346773622743</v>
      </c>
      <c r="AB62" s="4">
        <f t="shared" si="18"/>
        <v>1</v>
      </c>
      <c r="AC62" s="4">
        <f>ABS(TAN(RADIANS(ABS(OBSERVATIONS!$AO$12)))/TAN(RADIANS(ABS(Z62))))</f>
        <v>0.77562767264057608</v>
      </c>
      <c r="AD62" s="4">
        <f>IF(AB62=0,IF(OBSERVATIONS!$AY$35="N",-AC62,AC62),IF(OBSERVATIONS!$AY$35="N",AC62,-AC62))</f>
        <v>0.77562767264057608</v>
      </c>
      <c r="AE62" s="4">
        <f t="shared" si="19"/>
        <v>3.4674662758459052</v>
      </c>
      <c r="AF62" s="4">
        <f t="shared" si="20"/>
        <v>4.2430939484864814</v>
      </c>
      <c r="AG62" s="4">
        <f>ABS(DEGREES(ATAN(1/(COS(RADIANS(ABS(OBSERVATIONS!$AO$12)))*AF62))))</f>
        <v>14.141334238809835</v>
      </c>
      <c r="AH62" s="4">
        <f t="shared" si="21"/>
        <v>345.85866576119014</v>
      </c>
      <c r="AI62" s="4">
        <f>AA62-OBSERVATIONS!$AO$12</f>
        <v>35.936346773622745</v>
      </c>
      <c r="AJ62" s="12">
        <f>DEGREES(ASIN(SIN(RADIANS(OBSERVATIONS!$AO$12))*SIN(RADIANS(AA62))+COS(RADIANS(OBSERVATIONS!$AO$12))*COS(RADIANS(AA62))*COS(RADIANS(Y62))))</f>
        <v>-9.6179728782062597</v>
      </c>
      <c r="AK62" s="12">
        <f t="shared" si="22"/>
        <v>-9.6179728782062597</v>
      </c>
      <c r="AL62" s="8" t="s">
        <v>71</v>
      </c>
      <c r="AM62" s="12">
        <f t="shared" si="23"/>
        <v>345.85866576119014</v>
      </c>
      <c r="AN62" s="12">
        <f t="shared" si="24"/>
        <v>-9.6179728782062597</v>
      </c>
      <c r="AO62" s="12"/>
      <c r="AP62" s="12"/>
      <c r="AQ62" s="4"/>
      <c r="AR62" s="12"/>
      <c r="AS62" s="12"/>
      <c r="AT62" s="12"/>
      <c r="AU62" s="12"/>
      <c r="AV62" s="12"/>
      <c r="AW62" s="12"/>
      <c r="AX62" s="4"/>
      <c r="AY62" s="12"/>
      <c r="AZ62" s="13"/>
      <c r="BA62" s="12"/>
      <c r="BB62" s="4"/>
      <c r="BC62" s="12"/>
      <c r="BI62" s="10"/>
      <c r="BK62" s="10"/>
      <c r="BM62" s="10"/>
      <c r="BN62" s="10"/>
      <c r="BO62" s="10"/>
      <c r="BP62" s="10"/>
      <c r="BQ62" s="10"/>
      <c r="BS62" s="10"/>
      <c r="BT62" s="10"/>
      <c r="BU62" s="10"/>
      <c r="BV62" s="10"/>
      <c r="CC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Q62" s="10"/>
      <c r="CR62" s="10"/>
      <c r="CS62" s="10"/>
      <c r="CT62" s="10"/>
      <c r="CU62" s="10"/>
      <c r="CW62" s="12"/>
      <c r="CX62" s="12"/>
      <c r="CY62" s="12"/>
      <c r="CZ62" s="12"/>
      <c r="DA62" s="12"/>
      <c r="DB62" s="4"/>
      <c r="DC62" s="4"/>
      <c r="DD62" s="12"/>
      <c r="DE62" s="4"/>
      <c r="DF62" s="4"/>
      <c r="DG62" s="4"/>
      <c r="DH62" s="4"/>
      <c r="DI62" s="6"/>
      <c r="DJ62" s="6"/>
      <c r="DK62" s="6"/>
      <c r="DL62" s="1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</row>
    <row r="63" spans="2:176" s="1" customFormat="1" ht="15" customHeight="1">
      <c r="B63" s="8"/>
      <c r="C63" s="8"/>
      <c r="D63" s="8"/>
      <c r="E63" s="8"/>
      <c r="F63" s="8"/>
      <c r="G63" s="8"/>
      <c r="N63" s="4"/>
      <c r="O63" s="15" t="s">
        <v>72</v>
      </c>
      <c r="P63" s="4">
        <v>0</v>
      </c>
      <c r="Q63" s="17"/>
      <c r="R63" s="4"/>
      <c r="S63" s="4"/>
      <c r="T63" s="4"/>
      <c r="U63" s="4"/>
      <c r="V63" s="4"/>
      <c r="W63" s="4"/>
      <c r="X63" s="4"/>
      <c r="Y63" s="4">
        <f>MOD(V$4+OBSERVATIONS!$AO$13+I55,360)</f>
        <v>260.77518655444788</v>
      </c>
      <c r="Z63" s="4">
        <f t="shared" si="17"/>
        <v>99.224813445552115</v>
      </c>
      <c r="AA63" s="4">
        <f t="shared" si="26"/>
        <v>-37.114180322664708</v>
      </c>
      <c r="AB63" s="4">
        <f t="shared" si="18"/>
        <v>1</v>
      </c>
      <c r="AC63" s="4">
        <f>ABS(TAN(RADIANS(ABS(OBSERVATIONS!$AO$12)))/TAN(RADIANS(ABS(Z63))))</f>
        <v>6.1385491942921415E-2</v>
      </c>
      <c r="AD63" s="4">
        <f>IF(AB63=0,IF(OBSERVATIONS!$AY$35="N",-AC63,AC63),IF(OBSERVATIONS!$AY$35="N",AC63,-AC63))</f>
        <v>6.1385491942921415E-2</v>
      </c>
      <c r="AE63" s="4">
        <f t="shared" si="19"/>
        <v>-0.76659764729113788</v>
      </c>
      <c r="AF63" s="4">
        <f t="shared" si="20"/>
        <v>-0.70521215534821646</v>
      </c>
      <c r="AG63" s="4">
        <f>ABS(DEGREES(ATAN(1/(COS(RADIANS(ABS(OBSERVATIONS!$AO$12)))*AF63))))</f>
        <v>56.588571122476473</v>
      </c>
      <c r="AH63" s="4">
        <f t="shared" si="21"/>
        <v>123.41142887752352</v>
      </c>
      <c r="AI63" s="4">
        <f>AA63-OBSERVATIONS!$AO$12</f>
        <v>-57.819180322664707</v>
      </c>
      <c r="AJ63" s="12">
        <f>DEGREES(ASIN(SIN(RADIANS(OBSERVATIONS!$AO$12))*SIN(RADIANS(AA63))+COS(RADIANS(OBSERVATIONS!$AO$12))*COS(RADIANS(AA63))*COS(RADIANS(Y63))))</f>
        <v>-19.445925279685291</v>
      </c>
      <c r="AK63" s="12">
        <f t="shared" si="22"/>
        <v>-19.445925279685291</v>
      </c>
      <c r="AL63" s="8" t="s">
        <v>72</v>
      </c>
      <c r="AM63" s="12">
        <f t="shared" si="23"/>
        <v>123.41142887752352</v>
      </c>
      <c r="AN63" s="12">
        <f t="shared" si="24"/>
        <v>-19.445925279685291</v>
      </c>
      <c r="AO63" s="12"/>
      <c r="AP63" s="12"/>
      <c r="AQ63" s="4"/>
      <c r="AR63" s="12"/>
      <c r="AS63" s="12"/>
      <c r="AT63" s="12"/>
      <c r="AU63" s="12"/>
      <c r="AV63" s="12"/>
      <c r="AW63" s="12"/>
      <c r="AX63" s="4"/>
      <c r="AY63" s="12"/>
      <c r="AZ63" s="13"/>
      <c r="BA63" s="12"/>
      <c r="BB63" s="4"/>
      <c r="BC63" s="12"/>
      <c r="BI63" s="10"/>
      <c r="BK63" s="10"/>
      <c r="BM63" s="10"/>
      <c r="BN63" s="10"/>
      <c r="BO63" s="10"/>
      <c r="BP63" s="10"/>
      <c r="BQ63" s="10"/>
      <c r="BS63" s="10"/>
      <c r="BT63" s="10"/>
      <c r="BU63" s="10"/>
      <c r="BV63" s="10"/>
      <c r="CC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Q63" s="10"/>
      <c r="CR63" s="10"/>
      <c r="CS63" s="10"/>
      <c r="CT63" s="10"/>
      <c r="CU63" s="10"/>
      <c r="CW63" s="12"/>
      <c r="CX63" s="12"/>
      <c r="CY63" s="12"/>
      <c r="CZ63" s="12"/>
      <c r="DA63" s="12"/>
      <c r="DB63" s="4"/>
      <c r="DC63" s="4"/>
      <c r="DD63" s="12"/>
      <c r="DE63" s="4"/>
      <c r="DF63" s="4"/>
      <c r="DG63" s="4"/>
      <c r="DH63" s="4"/>
      <c r="DI63" s="6"/>
      <c r="DJ63" s="6"/>
      <c r="DK63" s="6"/>
      <c r="DL63" s="1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</row>
    <row r="64" spans="2:176" s="1" customFormat="1" ht="15" customHeight="1">
      <c r="B64" s="8"/>
      <c r="C64" s="8"/>
      <c r="D64" s="8"/>
      <c r="E64" s="8"/>
      <c r="F64" s="8"/>
      <c r="G64" s="8"/>
      <c r="N64" s="4"/>
      <c r="O64" s="15" t="s">
        <v>73</v>
      </c>
      <c r="P64" s="4">
        <v>0</v>
      </c>
      <c r="Q64" s="17"/>
      <c r="R64" s="4"/>
      <c r="S64" s="4"/>
      <c r="T64" s="4"/>
      <c r="U64" s="4"/>
      <c r="V64" s="4"/>
      <c r="W64" s="4"/>
      <c r="X64" s="4"/>
      <c r="Y64" s="4">
        <f>MOD(V$4+OBSERVATIONS!$AO$13+I56,360)</f>
        <v>62.85479234776966</v>
      </c>
      <c r="Z64" s="4">
        <f t="shared" si="17"/>
        <v>62.85479234776966</v>
      </c>
      <c r="AA64" s="4">
        <f t="shared" si="26"/>
        <v>-16.735421524783685</v>
      </c>
      <c r="AB64" s="4">
        <f t="shared" si="18"/>
        <v>0</v>
      </c>
      <c r="AC64" s="4">
        <f>ABS(TAN(RADIANS(ABS(OBSERVATIONS!$AO$12)))/TAN(RADIANS(ABS(Z64))))</f>
        <v>0.19379259293499365</v>
      </c>
      <c r="AD64" s="4">
        <f>IF(AB64=0,IF(OBSERVATIONS!$AY$35="N",-AC64,AC64),IF(OBSERVATIONS!$AY$35="N",AC64,-AC64))</f>
        <v>-0.19379259293499365</v>
      </c>
      <c r="AE64" s="4">
        <f t="shared" si="19"/>
        <v>-0.33790787832437952</v>
      </c>
      <c r="AF64" s="4">
        <f t="shared" si="20"/>
        <v>-0.53170047125937314</v>
      </c>
      <c r="AG64" s="4">
        <f>ABS(DEGREES(ATAN(1/(COS(RADIANS(ABS(OBSERVATIONS!$AO$12)))*AF64))))</f>
        <v>63.556102288605324</v>
      </c>
      <c r="AH64" s="4">
        <f t="shared" si="21"/>
        <v>243.55610228860533</v>
      </c>
      <c r="AI64" s="4">
        <f>AA64-OBSERVATIONS!$AO$12</f>
        <v>-37.440421524783687</v>
      </c>
      <c r="AJ64" s="12">
        <f>DEGREES(ASIN(SIN(RADIANS(OBSERVATIONS!$AO$12))*SIN(RADIANS(AA64))+COS(RADIANS(OBSERVATIONS!$AO$12))*COS(RADIANS(AA64))*COS(RADIANS(Y64))))</f>
        <v>17.872250395429468</v>
      </c>
      <c r="AK64" s="12">
        <f t="shared" si="22"/>
        <v>17.872250395429468</v>
      </c>
      <c r="AL64" s="8" t="s">
        <v>73</v>
      </c>
      <c r="AM64" s="12">
        <f t="shared" si="23"/>
        <v>243.55610228860533</v>
      </c>
      <c r="AN64" s="12">
        <f t="shared" si="24"/>
        <v>17.872250395429468</v>
      </c>
      <c r="AO64" s="12"/>
      <c r="AP64" s="12"/>
      <c r="AQ64" s="4"/>
      <c r="AR64" s="12"/>
      <c r="AS64" s="12"/>
      <c r="AT64" s="12"/>
      <c r="AU64" s="12"/>
      <c r="AV64" s="12"/>
      <c r="AW64" s="12"/>
      <c r="AX64" s="4"/>
      <c r="AY64" s="12"/>
      <c r="AZ64" s="13"/>
      <c r="BA64" s="12"/>
      <c r="BB64" s="4"/>
      <c r="BC64" s="12"/>
      <c r="BI64" s="10"/>
      <c r="BK64" s="10"/>
      <c r="BM64" s="10"/>
      <c r="BN64" s="10"/>
      <c r="BO64" s="10"/>
      <c r="BP64" s="10"/>
      <c r="BQ64" s="10"/>
      <c r="BS64" s="10"/>
      <c r="BT64" s="10"/>
      <c r="BU64" s="10"/>
      <c r="BV64" s="10"/>
      <c r="CC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Q64" s="10"/>
      <c r="CR64" s="10"/>
      <c r="CS64" s="10"/>
      <c r="CT64" s="10"/>
      <c r="CU64" s="10"/>
      <c r="CW64" s="12"/>
      <c r="CX64" s="12"/>
      <c r="CY64" s="12"/>
      <c r="CZ64" s="12"/>
      <c r="DA64" s="12"/>
      <c r="DB64" s="4"/>
      <c r="DC64" s="4"/>
      <c r="DD64" s="12"/>
      <c r="DE64" s="4"/>
      <c r="DF64" s="4"/>
      <c r="DG64" s="4"/>
      <c r="DH64" s="4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</row>
    <row r="65" spans="4:178" s="1" customFormat="1" ht="15" customHeight="1">
      <c r="D65" s="8"/>
      <c r="E65" s="8"/>
      <c r="F65" s="8"/>
      <c r="G65" s="8"/>
      <c r="H65" s="8"/>
      <c r="I65" s="8"/>
      <c r="N65" s="4"/>
      <c r="O65" s="15" t="s">
        <v>74</v>
      </c>
      <c r="P65" s="4">
        <v>0</v>
      </c>
      <c r="Q65" s="4"/>
      <c r="R65" s="4"/>
      <c r="S65" s="17"/>
      <c r="T65" s="4"/>
      <c r="U65" s="4"/>
      <c r="V65" s="4"/>
      <c r="W65" s="4"/>
      <c r="X65" s="4"/>
      <c r="Y65" s="4">
        <f>MOD(V$4+OBSERVATIONS!$AO$13+I57,360)</f>
        <v>322.85187343195207</v>
      </c>
      <c r="Z65" s="4">
        <f t="shared" si="17"/>
        <v>37.148126568047928</v>
      </c>
      <c r="AA65" s="4">
        <f t="shared" si="26"/>
        <v>-11.254788218808519</v>
      </c>
      <c r="AB65" s="4">
        <f t="shared" si="18"/>
        <v>0</v>
      </c>
      <c r="AC65" s="4">
        <f>ABS(TAN(RADIANS(ABS(OBSERVATIONS!$AO$12)))/TAN(RADIANS(ABS(Z65))))</f>
        <v>0.49889203134377319</v>
      </c>
      <c r="AD65" s="4">
        <f>IF(AB65=0,IF(OBSERVATIONS!$AY$35="N",-AC65,AC65),IF(OBSERVATIONS!$AY$35="N",AC65,-AC65))</f>
        <v>-0.49889203134377319</v>
      </c>
      <c r="AE65" s="4">
        <f t="shared" si="19"/>
        <v>-0.32953566468800677</v>
      </c>
      <c r="AF65" s="4">
        <f t="shared" si="20"/>
        <v>-0.82842769603178001</v>
      </c>
      <c r="AG65" s="4">
        <f>ABS(DEGREES(ATAN(1/(COS(RADIANS(ABS(OBSERVATIONS!$AO$12)))*AF65))))</f>
        <v>52.227101213037507</v>
      </c>
      <c r="AH65" s="4">
        <f t="shared" si="21"/>
        <v>127.77289878696249</v>
      </c>
      <c r="AI65" s="4">
        <f>AA65-OBSERVATIONS!$AO$12</f>
        <v>-31.959788218808519</v>
      </c>
      <c r="AJ65" s="12">
        <f>DEGREES(ASIN(SIN(RADIANS(OBSERVATIONS!$AO$12))*SIN(RADIANS(AA65))+COS(RADIANS(OBSERVATIONS!$AO$12))*COS(RADIANS(AA65))*COS(RADIANS(Y65))))</f>
        <v>41.471949384987028</v>
      </c>
      <c r="AK65" s="12">
        <f t="shared" si="22"/>
        <v>41.471949384987028</v>
      </c>
      <c r="AL65" s="8" t="s">
        <v>74</v>
      </c>
      <c r="AM65" s="12">
        <f t="shared" si="23"/>
        <v>127.77289878696249</v>
      </c>
      <c r="AN65" s="12">
        <f t="shared" si="24"/>
        <v>41.471949384987028</v>
      </c>
      <c r="AO65" s="4"/>
      <c r="AP65" s="4"/>
      <c r="AQ65" s="12"/>
      <c r="AR65" s="12"/>
      <c r="AS65" s="4"/>
      <c r="AT65" s="12"/>
      <c r="AU65" s="12"/>
      <c r="AV65" s="12"/>
      <c r="AW65" s="12"/>
      <c r="AX65" s="12"/>
      <c r="AY65" s="12"/>
      <c r="AZ65" s="4"/>
      <c r="BA65" s="12"/>
      <c r="BB65" s="13"/>
      <c r="BC65" s="12"/>
      <c r="BE65" s="10"/>
      <c r="BK65" s="10"/>
      <c r="BM65" s="10"/>
      <c r="BO65" s="10"/>
      <c r="BP65" s="10"/>
      <c r="BQ65" s="10"/>
      <c r="BR65" s="10"/>
      <c r="BS65" s="10"/>
      <c r="BU65" s="10"/>
      <c r="BV65" s="10"/>
      <c r="BW65" s="10"/>
      <c r="BX65" s="10"/>
      <c r="CE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S65" s="10"/>
      <c r="CT65" s="10"/>
      <c r="CU65" s="10"/>
      <c r="CV65" s="10"/>
      <c r="CW65" s="12"/>
      <c r="CX65" s="4"/>
      <c r="CY65" s="12"/>
      <c r="CZ65" s="12"/>
      <c r="DA65" s="12"/>
      <c r="DB65" s="12"/>
      <c r="DC65" s="12"/>
      <c r="DD65" s="4"/>
      <c r="DE65" s="4"/>
      <c r="DF65" s="12"/>
      <c r="DG65" s="4"/>
      <c r="DH65" s="4"/>
      <c r="DI65" s="4"/>
      <c r="DJ65" s="4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</row>
    <row r="66" spans="4:178" s="1" customFormat="1" ht="15" customHeight="1">
      <c r="D66" s="8"/>
      <c r="E66" s="8"/>
      <c r="F66" s="8"/>
      <c r="G66" s="8"/>
      <c r="H66" s="8"/>
      <c r="I66" s="8"/>
      <c r="N66" s="4"/>
      <c r="O66" s="15" t="s">
        <v>75</v>
      </c>
      <c r="P66" s="4">
        <v>0</v>
      </c>
      <c r="Q66" s="4"/>
      <c r="R66" s="4"/>
      <c r="S66" s="17"/>
      <c r="T66" s="4"/>
      <c r="U66" s="4"/>
      <c r="V66" s="4"/>
      <c r="W66" s="4"/>
      <c r="X66" s="4"/>
      <c r="Y66" s="4">
        <f>MOD(V$4+OBSERVATIONS!$AO$13+I58,360)</f>
        <v>27.155245431403557</v>
      </c>
      <c r="Z66" s="4">
        <f t="shared" si="17"/>
        <v>27.155245431403557</v>
      </c>
      <c r="AA66" s="4">
        <f t="shared" si="26"/>
        <v>-43.505666068781764</v>
      </c>
      <c r="AB66" s="4">
        <f t="shared" si="18"/>
        <v>0</v>
      </c>
      <c r="AC66" s="4">
        <f>ABS(TAN(RADIANS(ABS(OBSERVATIONS!$AO$12)))/TAN(RADIANS(ABS(Z66))))</f>
        <v>0.73686183982905717</v>
      </c>
      <c r="AD66" s="4">
        <f>IF(AB66=0,IF(OBSERVATIONS!$AY$35="N",-AC66,AC66),IF(OBSERVATIONS!$AY$35="N",AC66,-AC66))</f>
        <v>-0.73686183982905717</v>
      </c>
      <c r="AE66" s="4">
        <f t="shared" si="19"/>
        <v>-2.0796366890885101</v>
      </c>
      <c r="AF66" s="4">
        <f t="shared" si="20"/>
        <v>-2.8164985289175672</v>
      </c>
      <c r="AG66" s="4">
        <f>ABS(DEGREES(ATAN(1/(COS(RADIANS(ABS(OBSERVATIONS!$AO$12)))*AF66))))</f>
        <v>20.785045265456056</v>
      </c>
      <c r="AH66" s="4">
        <f t="shared" si="21"/>
        <v>200.78504526545606</v>
      </c>
      <c r="AI66" s="4">
        <f>AA66-OBSERVATIONS!$AO$12</f>
        <v>-64.210666068781762</v>
      </c>
      <c r="AJ66" s="12">
        <f>DEGREES(ASIN(SIN(RADIANS(OBSERVATIONS!$AO$12))*SIN(RADIANS(AA66))+COS(RADIANS(OBSERVATIONS!$AO$12))*COS(RADIANS(AA66))*COS(RADIANS(Y66))))</f>
        <v>21.117322898550821</v>
      </c>
      <c r="AK66" s="12">
        <f t="shared" si="22"/>
        <v>21.117322898550821</v>
      </c>
      <c r="AL66" s="8" t="s">
        <v>75</v>
      </c>
      <c r="AM66" s="12">
        <f t="shared" si="23"/>
        <v>200.78504526545606</v>
      </c>
      <c r="AN66" s="12">
        <f t="shared" si="24"/>
        <v>21.117322898550821</v>
      </c>
      <c r="AO66" s="4"/>
      <c r="AP66" s="4"/>
      <c r="AQ66" s="12"/>
      <c r="AR66" s="12"/>
      <c r="AS66" s="4"/>
      <c r="AT66" s="12"/>
      <c r="AU66" s="12"/>
      <c r="AV66" s="12"/>
      <c r="AW66" s="12"/>
      <c r="AX66" s="12"/>
      <c r="AY66" s="12"/>
      <c r="AZ66" s="4"/>
      <c r="BA66" s="12"/>
      <c r="BB66" s="13"/>
      <c r="BC66" s="12"/>
      <c r="BE66" s="10"/>
      <c r="BK66" s="10"/>
      <c r="BM66" s="10"/>
      <c r="BO66" s="10"/>
      <c r="BP66" s="10"/>
      <c r="BQ66" s="10"/>
      <c r="BR66" s="10"/>
      <c r="BS66" s="10"/>
      <c r="BU66" s="10"/>
      <c r="BV66" s="10"/>
      <c r="BW66" s="10"/>
      <c r="BX66" s="10"/>
      <c r="CE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S66" s="10"/>
      <c r="CT66" s="10"/>
      <c r="CU66" s="10"/>
      <c r="CV66" s="10"/>
      <c r="CW66" s="12"/>
      <c r="CX66" s="4"/>
      <c r="CY66" s="12"/>
      <c r="CZ66" s="12"/>
      <c r="DA66" s="12"/>
      <c r="DB66" s="12"/>
      <c r="DC66" s="12"/>
      <c r="DD66" s="4"/>
      <c r="DE66" s="4"/>
      <c r="DF66" s="12"/>
      <c r="DG66" s="4"/>
      <c r="DH66" s="4"/>
      <c r="DI66" s="4"/>
      <c r="DJ66" s="4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</row>
    <row r="67" spans="4:178" s="1" customFormat="1" ht="15" customHeight="1">
      <c r="D67" s="8"/>
      <c r="E67" s="8"/>
      <c r="F67" s="8"/>
      <c r="G67" s="8"/>
      <c r="H67" s="8"/>
      <c r="I67" s="8"/>
      <c r="N67" s="4"/>
      <c r="O67" s="15" t="s">
        <v>76</v>
      </c>
      <c r="P67" s="4">
        <v>0</v>
      </c>
      <c r="Q67" s="4"/>
      <c r="R67" s="4"/>
      <c r="S67" s="17"/>
      <c r="T67" s="4"/>
      <c r="U67" s="4"/>
      <c r="V67" s="4"/>
      <c r="W67" s="4"/>
      <c r="X67" s="4"/>
      <c r="Y67" s="4">
        <f>MOD(V$4+OBSERVATIONS!$AO$13+I59,360)</f>
        <v>244.89163602702919</v>
      </c>
      <c r="Z67" s="4">
        <f t="shared" si="17"/>
        <v>115.10836397297081</v>
      </c>
      <c r="AA67" s="4">
        <f t="shared" si="26"/>
        <v>38.799140215902774</v>
      </c>
      <c r="AB67" s="4">
        <f t="shared" si="18"/>
        <v>1</v>
      </c>
      <c r="AC67" s="4">
        <f>ABS(TAN(RADIANS(ABS(OBSERVATIONS!$AO$12)))/TAN(RADIANS(ABS(Z67))))</f>
        <v>0.17712054933489316</v>
      </c>
      <c r="AD67" s="4">
        <f>IF(AB67=0,IF(OBSERVATIONS!$AY$35="N",-AC67,AC67),IF(OBSERVATIONS!$AY$35="N",AC67,-AC67))</f>
        <v>0.17712054933489316</v>
      </c>
      <c r="AE67" s="4">
        <f t="shared" si="19"/>
        <v>0.88789601389314787</v>
      </c>
      <c r="AF67" s="4">
        <f t="shared" si="20"/>
        <v>1.0650165632280411</v>
      </c>
      <c r="AG67" s="4">
        <f>ABS(DEGREES(ATAN(1/(COS(RADIANS(ABS(OBSERVATIONS!$AO$12)))*AF67))))</f>
        <v>45.108191116091596</v>
      </c>
      <c r="AH67" s="4">
        <f t="shared" si="21"/>
        <v>45.108191116091596</v>
      </c>
      <c r="AI67" s="4">
        <f>AA67-OBSERVATIONS!$AO$12</f>
        <v>18.094140215902776</v>
      </c>
      <c r="AJ67" s="12">
        <f>DEGREES(ASIN(SIN(RADIANS(OBSERVATIONS!$AO$12))*SIN(RADIANS(AA67))+COS(RADIANS(OBSERVATIONS!$AO$12))*COS(RADIANS(AA67))*COS(RADIANS(Y67))))</f>
        <v>-5.0374609052847958</v>
      </c>
      <c r="AK67" s="12">
        <f t="shared" si="22"/>
        <v>-5.0374609052847958</v>
      </c>
      <c r="AL67" s="8" t="s">
        <v>76</v>
      </c>
      <c r="AM67" s="12">
        <f t="shared" si="23"/>
        <v>45.108191116091596</v>
      </c>
      <c r="AN67" s="12">
        <f t="shared" si="24"/>
        <v>-5.0374609052847958</v>
      </c>
      <c r="AO67" s="4"/>
      <c r="AP67" s="4"/>
      <c r="AQ67" s="12"/>
      <c r="AR67" s="12"/>
      <c r="AS67" s="4"/>
      <c r="AT67" s="12"/>
      <c r="AU67" s="12"/>
      <c r="AV67" s="12"/>
      <c r="AW67" s="12"/>
      <c r="AX67" s="12"/>
      <c r="AY67" s="12"/>
      <c r="AZ67" s="4"/>
      <c r="BA67" s="12"/>
      <c r="BB67" s="13"/>
      <c r="BC67" s="12"/>
      <c r="BE67" s="10"/>
      <c r="BK67" s="10"/>
      <c r="BM67" s="10"/>
      <c r="BO67" s="10"/>
      <c r="BP67" s="10"/>
      <c r="BQ67" s="10"/>
      <c r="BR67" s="10"/>
      <c r="BS67" s="10"/>
      <c r="BU67" s="10"/>
      <c r="BV67" s="10"/>
      <c r="BW67" s="10"/>
      <c r="BX67" s="10"/>
      <c r="CE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S67" s="10"/>
      <c r="CT67" s="10"/>
      <c r="CU67" s="10"/>
      <c r="CV67" s="10"/>
      <c r="CW67" s="12"/>
      <c r="CX67" s="4"/>
      <c r="CY67" s="12"/>
      <c r="CZ67" s="12"/>
      <c r="DA67" s="12"/>
      <c r="DB67" s="12"/>
      <c r="DC67" s="12"/>
      <c r="DD67" s="4"/>
      <c r="DE67" s="4"/>
      <c r="DF67" s="12"/>
      <c r="DG67" s="4"/>
      <c r="DH67" s="4"/>
      <c r="DI67" s="4"/>
      <c r="DJ67" s="4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</row>
    <row r="68" spans="4:178" s="1" customFormat="1" ht="15" customHeight="1">
      <c r="D68" s="8"/>
      <c r="E68" s="8"/>
      <c r="F68" s="8"/>
      <c r="G68" s="8"/>
      <c r="H68" s="8"/>
      <c r="I68" s="8"/>
      <c r="N68" s="4"/>
      <c r="O68" s="15" t="s">
        <v>77</v>
      </c>
      <c r="P68" s="4">
        <v>1</v>
      </c>
      <c r="Q68" s="4">
        <f>FQ4</f>
        <v>16.192528713452191</v>
      </c>
      <c r="R68" s="4">
        <f>FQ5</f>
        <v>231.36343201672366</v>
      </c>
      <c r="S68" s="17">
        <f>FQ6</f>
        <v>30.096549325304466</v>
      </c>
      <c r="T68" s="4">
        <f>FP4</f>
        <v>24.258388234374873</v>
      </c>
      <c r="U68" s="4">
        <f>FP5</f>
        <v>-12.858400126050126</v>
      </c>
      <c r="V68" s="4">
        <f>FP6</f>
        <v>24.263654557667433</v>
      </c>
      <c r="W68" s="4"/>
      <c r="X68" s="4"/>
      <c r="Y68" s="4">
        <f>MOD(Q68+OBSERVATIONS!$AO$13,360)</f>
        <v>86.117528713452188</v>
      </c>
      <c r="Z68" s="4">
        <f t="shared" si="17"/>
        <v>86.117528713452188</v>
      </c>
      <c r="AA68" s="4">
        <f>T68</f>
        <v>24.258388234374873</v>
      </c>
      <c r="AB68" s="4">
        <f t="shared" si="18"/>
        <v>0</v>
      </c>
      <c r="AC68" s="4">
        <f>ABS(TAN(RADIANS(ABS(OBSERVATIONS!$AO$12)))/TAN(RADIANS(ABS(Z68))))</f>
        <v>2.565112144657012E-2</v>
      </c>
      <c r="AD68" s="4">
        <f>IF(AB68=0,IF(OBSERVATIONS!$AY$35="N",-AC68,AC68),IF(OBSERVATIONS!$AY$35="N",AC68,-AC68))</f>
        <v>-2.565112144657012E-2</v>
      </c>
      <c r="AE68" s="4">
        <f t="shared" si="19"/>
        <v>0.45167986274135569</v>
      </c>
      <c r="AF68" s="4">
        <f t="shared" si="20"/>
        <v>0.42602874129478557</v>
      </c>
      <c r="AG68" s="4">
        <f>ABS(DEGREES(ATAN(1/(COS(RADIANS(ABS(OBSERVATIONS!$AO$12)))*AF68))))</f>
        <v>68.272080360254648</v>
      </c>
      <c r="AH68" s="4">
        <f t="shared" si="21"/>
        <v>291.72791963974532</v>
      </c>
      <c r="AI68" s="4">
        <f>AA68-OBSERVATIONS!$AO$12</f>
        <v>3.5533882343748751</v>
      </c>
      <c r="AJ68" s="12">
        <f>DEGREES(ASIN(SIN(RADIANS(OBSERVATIONS!$AO$12))*SIN(RADIANS(AA68))+COS(RADIANS(OBSERVATIONS!$AO$12))*COS(RADIANS(AA68))*COS(RADIANS(Y68))))</f>
        <v>11.712671853973601</v>
      </c>
      <c r="AK68" s="12">
        <f t="shared" si="22"/>
        <v>11.712671853973601</v>
      </c>
      <c r="AL68" s="8" t="s">
        <v>77</v>
      </c>
      <c r="AM68" s="12">
        <f t="shared" si="23"/>
        <v>291.72791963974532</v>
      </c>
      <c r="AN68" s="12">
        <f t="shared" si="24"/>
        <v>11.712671853973601</v>
      </c>
      <c r="AO68" s="4"/>
      <c r="AP68" s="4"/>
      <c r="AQ68" s="12"/>
      <c r="AR68" s="12"/>
      <c r="AS68" s="4"/>
      <c r="AT68" s="12"/>
      <c r="AU68" s="12"/>
      <c r="AV68" s="12"/>
      <c r="AW68" s="12"/>
      <c r="AX68" s="12"/>
      <c r="AY68" s="12"/>
      <c r="AZ68" s="4"/>
      <c r="BA68" s="12"/>
      <c r="BB68" s="13"/>
      <c r="BC68" s="12"/>
      <c r="BE68" s="10"/>
      <c r="BK68" s="10"/>
      <c r="BM68" s="10"/>
      <c r="BO68" s="10"/>
      <c r="BP68" s="10"/>
      <c r="BQ68" s="10"/>
      <c r="BR68" s="10"/>
      <c r="BS68" s="10"/>
      <c r="BU68" s="10"/>
      <c r="BV68" s="10"/>
      <c r="BW68" s="10"/>
      <c r="BX68" s="10"/>
      <c r="CE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S68" s="10"/>
      <c r="CT68" s="10"/>
      <c r="CU68" s="10"/>
      <c r="CV68" s="10"/>
      <c r="CW68" s="12"/>
      <c r="CX68" s="4"/>
      <c r="CY68" s="12"/>
      <c r="CZ68" s="12"/>
      <c r="DA68" s="12"/>
      <c r="DB68" s="12"/>
      <c r="DC68" s="12"/>
      <c r="DD68" s="4"/>
      <c r="DE68" s="4"/>
      <c r="DF68" s="12"/>
      <c r="DG68" s="4"/>
      <c r="DH68" s="4"/>
      <c r="DI68" s="4"/>
      <c r="DJ68" s="4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</row>
    <row r="69" spans="4:178" s="1" customFormat="1" ht="15" customHeight="1">
      <c r="D69" s="8"/>
      <c r="E69" s="8"/>
      <c r="F69" s="8"/>
      <c r="G69" s="8"/>
      <c r="H69" s="8"/>
      <c r="I69" s="8"/>
      <c r="N69" s="4"/>
      <c r="O69" s="15" t="s">
        <v>78</v>
      </c>
      <c r="P69" s="4">
        <v>0</v>
      </c>
      <c r="Q69" s="4"/>
      <c r="R69" s="4"/>
      <c r="S69" s="17"/>
      <c r="T69" s="4"/>
      <c r="U69" s="4"/>
      <c r="V69" s="4"/>
      <c r="W69" s="4"/>
      <c r="X69" s="4"/>
      <c r="Y69" s="4">
        <f>MOD(V$4+OBSERVATIONS!$AO$13+I60,360)</f>
        <v>301.4379275381234</v>
      </c>
      <c r="Z69" s="4">
        <f t="shared" si="17"/>
        <v>58.562072461876596</v>
      </c>
      <c r="AA69" s="4">
        <f>J60</f>
        <v>-16.114560021715072</v>
      </c>
      <c r="AB69" s="4">
        <f t="shared" si="18"/>
        <v>0</v>
      </c>
      <c r="AC69" s="4">
        <f>ABS(TAN(RADIANS(ABS(OBSERVATIONS!$AO$12)))/TAN(RADIANS(ABS(Z69))))</f>
        <v>0.23105636141425581</v>
      </c>
      <c r="AD69" s="4">
        <f>IF(AB69=0,IF(OBSERVATIONS!$AY$35="N",-AC69,AC69),IF(OBSERVATIONS!$AY$35="N",AC69,-AC69))</f>
        <v>-0.23105636141425581</v>
      </c>
      <c r="AE69" s="4">
        <f t="shared" si="19"/>
        <v>-0.3386176070751486</v>
      </c>
      <c r="AF69" s="4">
        <f t="shared" si="20"/>
        <v>-0.56967396848940444</v>
      </c>
      <c r="AG69" s="4">
        <f>ABS(DEGREES(ATAN(1/(COS(RADIANS(ABS(OBSERVATIONS!$AO$12)))*AF69))))</f>
        <v>61.947714863883746</v>
      </c>
      <c r="AH69" s="4">
        <f t="shared" si="21"/>
        <v>118.05228513611625</v>
      </c>
      <c r="AI69" s="4">
        <f>AA69-OBSERVATIONS!$AO$12</f>
        <v>-36.81956002171507</v>
      </c>
      <c r="AJ69" s="12">
        <f>DEGREES(ASIN(SIN(RADIANS(OBSERVATIONS!$AO$12))*SIN(RADIANS(AA69))+COS(RADIANS(OBSERVATIONS!$AO$12))*COS(RADIANS(AA69))*COS(RADIANS(Y69))))</f>
        <v>21.751713763543741</v>
      </c>
      <c r="AK69" s="12">
        <f t="shared" si="22"/>
        <v>21.751713763543741</v>
      </c>
      <c r="AL69" s="8" t="s">
        <v>78</v>
      </c>
      <c r="AM69" s="12">
        <f t="shared" si="23"/>
        <v>118.05228513611625</v>
      </c>
      <c r="AN69" s="12">
        <f t="shared" si="24"/>
        <v>21.751713763543741</v>
      </c>
      <c r="AO69" s="4"/>
      <c r="AP69" s="4"/>
      <c r="AQ69" s="12"/>
      <c r="AR69" s="12"/>
      <c r="AS69" s="4"/>
      <c r="AT69" s="12"/>
      <c r="AU69" s="12"/>
      <c r="AV69" s="12"/>
      <c r="AW69" s="12"/>
      <c r="AX69" s="12"/>
      <c r="AY69" s="12"/>
      <c r="AZ69" s="4"/>
      <c r="BA69" s="12"/>
      <c r="BB69" s="13"/>
      <c r="BC69" s="12"/>
      <c r="BE69" s="10"/>
      <c r="BK69" s="10"/>
      <c r="BM69" s="10"/>
      <c r="BO69" s="10"/>
      <c r="BP69" s="10"/>
      <c r="BQ69" s="10"/>
      <c r="BR69" s="10"/>
      <c r="BS69" s="10"/>
      <c r="BU69" s="10"/>
      <c r="BV69" s="10"/>
      <c r="BW69" s="10"/>
      <c r="BX69" s="10"/>
      <c r="CE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S69" s="10"/>
      <c r="CT69" s="10"/>
      <c r="CU69" s="10"/>
      <c r="CV69" s="10"/>
      <c r="CW69" s="12"/>
      <c r="CX69" s="4"/>
      <c r="CY69" s="12"/>
      <c r="CZ69" s="12"/>
      <c r="DA69" s="12"/>
      <c r="DB69" s="12"/>
      <c r="DC69" s="12"/>
      <c r="DD69" s="4"/>
      <c r="DE69" s="4"/>
      <c r="DF69" s="12"/>
      <c r="DG69" s="4"/>
      <c r="DH69" s="4"/>
      <c r="DI69" s="4"/>
      <c r="DJ69" s="4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</row>
    <row r="70" spans="4:178" s="1" customFormat="1" ht="15" customHeight="1">
      <c r="D70" s="8"/>
      <c r="E70" s="8"/>
      <c r="F70" s="8"/>
      <c r="G70" s="8"/>
      <c r="H70" s="8"/>
      <c r="I70" s="8"/>
      <c r="N70" s="4"/>
      <c r="O70" s="15" t="s">
        <v>206</v>
      </c>
      <c r="P70" s="4"/>
      <c r="Q70" s="4">
        <f>V4</f>
        <v>94.453164362534508</v>
      </c>
      <c r="R70" s="4">
        <f>V5</f>
        <v>93.366865030945021</v>
      </c>
      <c r="S70" s="17">
        <f>V6</f>
        <v>108.40793269885786</v>
      </c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12"/>
      <c r="AR70" s="12"/>
      <c r="AS70" s="4"/>
      <c r="AT70" s="12"/>
      <c r="AU70" s="12"/>
      <c r="AV70" s="12"/>
      <c r="AW70" s="12"/>
      <c r="AX70" s="12"/>
      <c r="AY70" s="12"/>
      <c r="AZ70" s="4"/>
      <c r="BA70" s="12"/>
      <c r="BB70" s="13"/>
      <c r="BC70" s="12"/>
      <c r="BE70" s="10"/>
      <c r="BK70" s="10"/>
      <c r="BM70" s="10"/>
      <c r="BO70" s="10"/>
      <c r="BP70" s="10"/>
      <c r="BQ70" s="10"/>
      <c r="BR70" s="10"/>
      <c r="BS70" s="10"/>
      <c r="BU70" s="10"/>
      <c r="BV70" s="10"/>
      <c r="BW70" s="10"/>
      <c r="BX70" s="10"/>
      <c r="CE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S70" s="10"/>
      <c r="CT70" s="10"/>
      <c r="CU70" s="10"/>
      <c r="CV70" s="10"/>
      <c r="CW70" s="12"/>
      <c r="CX70" s="4"/>
      <c r="CY70" s="12"/>
      <c r="CZ70" s="12"/>
      <c r="DA70" s="12"/>
      <c r="DB70" s="12"/>
      <c r="DC70" s="12"/>
      <c r="DD70" s="4"/>
      <c r="DE70" s="4"/>
      <c r="DF70" s="12"/>
      <c r="DG70" s="4"/>
      <c r="DH70" s="4"/>
      <c r="DI70" s="4"/>
      <c r="DJ70" s="4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</row>
    <row r="71" spans="4:178" s="1" customFormat="1" ht="15" customHeight="1">
      <c r="D71" s="8"/>
      <c r="E71" s="8"/>
      <c r="F71" s="8"/>
      <c r="G71" s="8"/>
      <c r="H71" s="8"/>
      <c r="I71" s="8"/>
      <c r="N71" s="4"/>
      <c r="O71" s="4"/>
      <c r="P71" s="4"/>
      <c r="Q71" s="4"/>
      <c r="R71" s="4"/>
      <c r="S71" s="17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12"/>
      <c r="AR71" s="12"/>
      <c r="AS71" s="4"/>
      <c r="AT71" s="12"/>
      <c r="AU71" s="12"/>
      <c r="AV71" s="12"/>
      <c r="AW71" s="12"/>
      <c r="AX71" s="12"/>
      <c r="AY71" s="12"/>
      <c r="AZ71" s="4"/>
      <c r="BA71" s="12"/>
      <c r="BB71" s="13"/>
      <c r="BC71" s="12"/>
      <c r="BE71" s="10"/>
      <c r="BK71" s="10"/>
      <c r="BM71" s="10"/>
      <c r="BO71" s="10"/>
      <c r="BP71" s="10"/>
      <c r="BQ71" s="10"/>
      <c r="BR71" s="10"/>
      <c r="BS71" s="10"/>
      <c r="BU71" s="10"/>
      <c r="BV71" s="10"/>
      <c r="BW71" s="10"/>
      <c r="BX71" s="10"/>
      <c r="CE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S71" s="10"/>
      <c r="CT71" s="10"/>
      <c r="CU71" s="10"/>
      <c r="CV71" s="10"/>
      <c r="CW71" s="12"/>
      <c r="CX71" s="4"/>
      <c r="CY71" s="12"/>
      <c r="CZ71" s="12"/>
      <c r="DA71" s="12"/>
      <c r="DB71" s="12"/>
      <c r="DC71" s="12"/>
      <c r="DD71" s="4"/>
      <c r="DE71" s="4"/>
      <c r="DF71" s="12"/>
      <c r="DG71" s="4"/>
      <c r="DH71" s="4"/>
      <c r="DI71" s="4"/>
      <c r="DJ71" s="4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</row>
    <row r="72" spans="4:178" s="1" customFormat="1" ht="15" customHeight="1">
      <c r="D72" s="8"/>
      <c r="E72" s="8"/>
      <c r="F72" s="8"/>
      <c r="G72" s="8"/>
      <c r="H72" s="8"/>
      <c r="I72" s="8"/>
      <c r="N72" s="4"/>
      <c r="O72" s="4"/>
      <c r="P72" s="4"/>
      <c r="Q72" s="4"/>
      <c r="R72" s="4"/>
      <c r="S72" s="17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12"/>
      <c r="AR72" s="12"/>
      <c r="AS72" s="4"/>
      <c r="AT72" s="12"/>
      <c r="AU72" s="12"/>
      <c r="AV72" s="12"/>
      <c r="AW72" s="12"/>
      <c r="AX72" s="12"/>
      <c r="AY72" s="12"/>
      <c r="AZ72" s="4"/>
      <c r="BA72" s="12"/>
      <c r="BB72" s="13"/>
      <c r="BC72" s="12"/>
      <c r="BE72" s="10"/>
      <c r="BK72" s="10"/>
      <c r="BM72" s="10"/>
      <c r="BO72" s="10"/>
      <c r="BP72" s="10"/>
      <c r="BQ72" s="10"/>
      <c r="BR72" s="10"/>
      <c r="BS72" s="10"/>
      <c r="BU72" s="10"/>
      <c r="BV72" s="10"/>
      <c r="BW72" s="10"/>
      <c r="BX72" s="10"/>
      <c r="CE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S72" s="10"/>
      <c r="CT72" s="10"/>
      <c r="CU72" s="10"/>
      <c r="CV72" s="10"/>
      <c r="CW72" s="12"/>
      <c r="CX72" s="4"/>
      <c r="CY72" s="12"/>
      <c r="CZ72" s="12"/>
      <c r="DA72" s="12"/>
      <c r="DB72" s="12"/>
      <c r="DC72" s="12"/>
      <c r="DD72" s="4"/>
      <c r="DE72" s="4"/>
      <c r="DF72" s="12"/>
      <c r="DG72" s="4"/>
      <c r="DH72" s="4"/>
      <c r="DI72" s="4"/>
      <c r="DJ72" s="4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</row>
    <row r="73" spans="4:178" s="1" customFormat="1" ht="15" customHeight="1">
      <c r="D73" s="8"/>
      <c r="E73" s="8"/>
      <c r="F73" s="8"/>
      <c r="G73" s="8"/>
      <c r="H73" s="8"/>
      <c r="I73" s="8"/>
      <c r="S73" s="11"/>
      <c r="V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12"/>
      <c r="AR73" s="12"/>
      <c r="AS73" s="4"/>
      <c r="AT73" s="12"/>
      <c r="AU73" s="12"/>
      <c r="AV73" s="12"/>
      <c r="AW73" s="12"/>
      <c r="AX73" s="12"/>
      <c r="AY73" s="12"/>
      <c r="AZ73" s="4"/>
      <c r="BA73" s="12"/>
      <c r="BB73" s="13"/>
      <c r="BC73" s="12"/>
      <c r="BE73" s="10"/>
      <c r="BK73" s="10"/>
      <c r="BM73" s="10"/>
      <c r="BO73" s="10"/>
      <c r="BP73" s="10"/>
      <c r="BQ73" s="10"/>
      <c r="BR73" s="10"/>
      <c r="BS73" s="10"/>
      <c r="BU73" s="10"/>
      <c r="BV73" s="10"/>
      <c r="BW73" s="10"/>
      <c r="BX73" s="10"/>
      <c r="CE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S73" s="10"/>
      <c r="CT73" s="10"/>
      <c r="CU73" s="10"/>
      <c r="CV73" s="10"/>
      <c r="CW73" s="12"/>
      <c r="CX73" s="4"/>
      <c r="CY73" s="12"/>
      <c r="CZ73" s="12"/>
      <c r="DA73" s="12"/>
      <c r="DB73" s="12"/>
      <c r="DC73" s="12"/>
      <c r="DD73" s="4"/>
      <c r="DE73" s="4"/>
      <c r="DF73" s="12"/>
      <c r="DG73" s="4"/>
      <c r="DH73" s="4"/>
      <c r="DI73" s="4"/>
      <c r="DJ73" s="4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</row>
    <row r="74" spans="4:178" s="1" customFormat="1" ht="15" customHeight="1">
      <c r="D74" s="8"/>
      <c r="E74" s="8"/>
      <c r="F74" s="8"/>
      <c r="G74" s="8"/>
      <c r="H74" s="8"/>
      <c r="I74" s="8"/>
      <c r="S74" s="11"/>
      <c r="V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12"/>
      <c r="AR74" s="12"/>
      <c r="AS74" s="4"/>
      <c r="AT74" s="12"/>
      <c r="AU74" s="12"/>
      <c r="AV74" s="12"/>
      <c r="AW74" s="12"/>
      <c r="AX74" s="12"/>
      <c r="AY74" s="12"/>
      <c r="AZ74" s="4"/>
      <c r="BA74" s="12"/>
      <c r="BB74" s="13"/>
      <c r="BC74" s="12"/>
      <c r="BE74" s="10"/>
      <c r="BK74" s="10"/>
      <c r="BM74" s="10"/>
      <c r="BO74" s="10"/>
      <c r="BP74" s="10"/>
      <c r="BQ74" s="10"/>
      <c r="BR74" s="10"/>
      <c r="BS74" s="10"/>
      <c r="BU74" s="10"/>
      <c r="BV74" s="10"/>
      <c r="BW74" s="10"/>
      <c r="BX74" s="10"/>
      <c r="CE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S74" s="10"/>
      <c r="CT74" s="10"/>
      <c r="CU74" s="10"/>
      <c r="CV74" s="10"/>
      <c r="CW74" s="12"/>
      <c r="CX74" s="4"/>
      <c r="CY74" s="12"/>
      <c r="CZ74" s="12"/>
      <c r="DA74" s="12"/>
      <c r="DB74" s="12"/>
      <c r="DC74" s="12"/>
      <c r="DD74" s="4"/>
      <c r="DE74" s="4"/>
      <c r="DF74" s="12"/>
      <c r="DG74" s="4"/>
      <c r="DH74" s="4"/>
      <c r="DI74" s="4"/>
      <c r="DJ74" s="4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</row>
    <row r="75" spans="4:178" s="1" customFormat="1" ht="12" customHeight="1">
      <c r="D75" s="8"/>
      <c r="E75" s="8"/>
      <c r="F75" s="8"/>
      <c r="G75" s="8"/>
      <c r="H75" s="8"/>
      <c r="I75" s="8"/>
      <c r="S75" s="11"/>
      <c r="V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12"/>
      <c r="AR75" s="12"/>
      <c r="AS75" s="4"/>
      <c r="AT75" s="12"/>
      <c r="AU75" s="12"/>
      <c r="AV75" s="12"/>
      <c r="AW75" s="12"/>
      <c r="AX75" s="12"/>
      <c r="AY75" s="12"/>
      <c r="AZ75" s="4"/>
      <c r="BA75" s="12"/>
      <c r="BB75" s="13"/>
      <c r="BC75" s="12"/>
      <c r="BE75" s="10"/>
      <c r="BK75" s="10"/>
      <c r="BM75" s="10"/>
      <c r="BO75" s="10"/>
      <c r="BP75" s="10"/>
      <c r="BQ75" s="10"/>
      <c r="BR75" s="10"/>
      <c r="BS75" s="10"/>
      <c r="BU75" s="10"/>
      <c r="BV75" s="10"/>
      <c r="BW75" s="10"/>
      <c r="BX75" s="10"/>
      <c r="CE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S75" s="10"/>
      <c r="CT75" s="10"/>
      <c r="CU75" s="10"/>
      <c r="CV75" s="10"/>
      <c r="CW75" s="12"/>
      <c r="CX75" s="4"/>
      <c r="CY75" s="12"/>
      <c r="CZ75" s="12"/>
      <c r="DA75" s="12"/>
      <c r="DB75" s="12"/>
      <c r="DC75" s="12"/>
      <c r="DD75" s="4"/>
      <c r="DE75" s="4"/>
      <c r="DF75" s="12"/>
      <c r="DG75" s="4"/>
      <c r="DH75" s="4"/>
      <c r="DI75" s="4"/>
      <c r="DJ75" s="4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</row>
    <row r="76" spans="4:178" s="1" customFormat="1" ht="12" customHeight="1">
      <c r="V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CW76" s="4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</row>
    <row r="77" spans="4:178" s="1" customFormat="1" ht="12" customHeight="1">
      <c r="V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CW77" s="4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</row>
    <row r="78" spans="4:178" s="1" customFormat="1" ht="12" customHeight="1">
      <c r="V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CW78" s="4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</row>
    <row r="79" spans="4:178" s="1" customFormat="1">
      <c r="V79" s="4"/>
      <c r="CW79" s="4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</row>
    <row r="80" spans="4:178" s="1" customFormat="1">
      <c r="V80" s="4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</row>
    <row r="81" spans="22:178" s="1" customFormat="1">
      <c r="V81" s="4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</row>
    <row r="82" spans="22:178" s="1" customFormat="1">
      <c r="V82" s="4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</row>
    <row r="83" spans="22:178" s="1" customFormat="1">
      <c r="V83" s="4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</row>
    <row r="84" spans="22:178" s="1" customFormat="1">
      <c r="V84" s="4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</row>
    <row r="85" spans="22:178" s="1" customFormat="1">
      <c r="V85" s="4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</row>
    <row r="86" spans="22:178" s="1" customFormat="1">
      <c r="V86" s="4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</row>
    <row r="87" spans="22:178" s="1" customFormat="1">
      <c r="V87" s="4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</row>
    <row r="88" spans="22:178" s="1" customFormat="1">
      <c r="V88" s="4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</row>
    <row r="89" spans="22:178" s="1" customFormat="1">
      <c r="V89" s="4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</row>
    <row r="90" spans="22:178" s="1" customFormat="1">
      <c r="V90" s="4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</row>
    <row r="91" spans="22:178" s="1" customFormat="1">
      <c r="V91" s="4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</row>
    <row r="92" spans="22:178" s="1" customFormat="1">
      <c r="V92" s="4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</row>
    <row r="93" spans="22:178" s="1" customFormat="1">
      <c r="V93" s="4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</row>
    <row r="94" spans="22:178" s="1" customFormat="1">
      <c r="V94" s="4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</row>
    <row r="95" spans="22:178" s="1" customFormat="1">
      <c r="V95" s="4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</row>
    <row r="96" spans="22:178" s="1" customFormat="1">
      <c r="V96" s="4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</row>
    <row r="97" spans="22:178" s="1" customFormat="1">
      <c r="V97" s="4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</row>
    <row r="98" spans="22:178" s="1" customFormat="1">
      <c r="V98" s="4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</row>
    <row r="99" spans="22:178" s="1" customFormat="1">
      <c r="V99" s="4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</row>
    <row r="100" spans="22:178" s="1" customFormat="1">
      <c r="V100" s="4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</row>
    <row r="101" spans="22:178" s="1" customFormat="1">
      <c r="V101" s="4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</row>
    <row r="102" spans="22:178" s="1" customFormat="1">
      <c r="V102" s="4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</row>
    <row r="103" spans="22:178" s="1" customFormat="1">
      <c r="V103" s="4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</row>
    <row r="104" spans="22:178" s="1" customFormat="1">
      <c r="V104" s="4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</row>
    <row r="105" spans="22:178" s="1" customFormat="1">
      <c r="V105" s="4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</row>
    <row r="106" spans="22:178" s="1" customFormat="1">
      <c r="V106" s="4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</row>
    <row r="107" spans="22:178" s="1" customFormat="1">
      <c r="V107" s="4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</row>
    <row r="108" spans="22:178" s="1" customFormat="1">
      <c r="V108" s="4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</row>
    <row r="109" spans="22:178" s="1" customFormat="1">
      <c r="V109" s="4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</row>
    <row r="110" spans="22:178" s="1" customFormat="1">
      <c r="V110" s="4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</row>
    <row r="111" spans="22:178" s="1" customFormat="1">
      <c r="V111" s="4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</row>
    <row r="112" spans="22:178" s="1" customFormat="1">
      <c r="V112" s="4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</row>
    <row r="113" spans="22:178" s="1" customFormat="1">
      <c r="V113" s="4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</row>
    <row r="114" spans="22:178" s="1" customFormat="1">
      <c r="V114" s="4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</row>
    <row r="115" spans="22:178" s="1" customFormat="1">
      <c r="V115" s="4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</row>
    <row r="116" spans="22:178" s="1" customFormat="1">
      <c r="V116" s="4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</row>
    <row r="117" spans="22:178" s="1" customFormat="1">
      <c r="V117" s="4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</row>
    <row r="118" spans="22:178" s="1" customFormat="1">
      <c r="V118" s="4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</row>
    <row r="119" spans="22:178" s="1" customFormat="1">
      <c r="V119" s="4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</row>
    <row r="120" spans="22:178" s="1" customFormat="1">
      <c r="V120" s="4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</row>
    <row r="121" spans="22:178" s="1" customFormat="1">
      <c r="V121" s="4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</row>
    <row r="122" spans="22:178" s="1" customFormat="1">
      <c r="V122" s="4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</row>
    <row r="123" spans="22:178" s="1" customFormat="1">
      <c r="V123" s="4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</row>
    <row r="124" spans="22:178" s="1" customFormat="1">
      <c r="V124" s="4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</row>
    <row r="125" spans="22:178" s="1" customFormat="1">
      <c r="V125" s="4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</row>
    <row r="126" spans="22:178" s="1" customFormat="1">
      <c r="V126" s="4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</row>
    <row r="127" spans="22:178" s="1" customFormat="1">
      <c r="V127" s="4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</row>
    <row r="128" spans="22:178" s="1" customFormat="1">
      <c r="V128" s="4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</row>
    <row r="129" spans="22:178" s="1" customFormat="1">
      <c r="V129" s="4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</row>
    <row r="130" spans="22:178" s="1" customFormat="1">
      <c r="V130" s="4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</row>
    <row r="131" spans="22:178" s="1" customFormat="1">
      <c r="V131" s="4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</row>
    <row r="132" spans="22:178" s="1" customFormat="1">
      <c r="V132" s="4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</row>
    <row r="133" spans="22:178" s="1" customFormat="1">
      <c r="V133" s="4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</row>
    <row r="134" spans="22:178" s="1" customFormat="1">
      <c r="V134" s="4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</row>
    <row r="135" spans="22:178" s="1" customFormat="1">
      <c r="V135" s="4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</row>
    <row r="136" spans="22:178" s="1" customFormat="1">
      <c r="V136" s="4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</row>
    <row r="137" spans="22:178" s="1" customFormat="1">
      <c r="V137" s="4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</row>
    <row r="138" spans="22:178" s="1" customFormat="1">
      <c r="V138" s="4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</row>
    <row r="139" spans="22:178" s="1" customFormat="1">
      <c r="V139" s="4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</row>
    <row r="140" spans="22:178" s="1" customFormat="1">
      <c r="V140" s="4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</row>
    <row r="141" spans="22:178" s="1" customFormat="1">
      <c r="V141" s="4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</row>
    <row r="142" spans="22:178" s="1" customFormat="1">
      <c r="V142" s="4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</row>
    <row r="143" spans="22:178" s="1" customFormat="1">
      <c r="V143" s="4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</row>
    <row r="144" spans="22:178" s="1" customFormat="1">
      <c r="V144" s="4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</row>
    <row r="145" spans="22:178" s="1" customFormat="1">
      <c r="V145" s="4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</row>
    <row r="146" spans="22:178" s="1" customFormat="1">
      <c r="V146" s="4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</row>
    <row r="147" spans="22:178" s="1" customFormat="1">
      <c r="V147" s="4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</row>
    <row r="148" spans="22:178" s="1" customFormat="1">
      <c r="V148" s="4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</row>
    <row r="149" spans="22:178" s="1" customFormat="1">
      <c r="V149" s="4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</row>
    <row r="150" spans="22:178" s="1" customFormat="1">
      <c r="V150" s="4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</row>
    <row r="151" spans="22:178" s="1" customFormat="1">
      <c r="V151" s="4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</row>
    <row r="152" spans="22:178" s="1" customFormat="1">
      <c r="V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</row>
    <row r="153" spans="22:178" s="1" customFormat="1">
      <c r="V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</row>
    <row r="154" spans="22:178" s="1" customFormat="1">
      <c r="V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</row>
    <row r="155" spans="22:178" s="1" customFormat="1">
      <c r="V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</row>
    <row r="156" spans="22:178" s="1" customFormat="1">
      <c r="V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</row>
    <row r="157" spans="22:178" s="1" customFormat="1">
      <c r="V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</row>
    <row r="158" spans="22:178" s="1" customFormat="1">
      <c r="V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</row>
    <row r="159" spans="22:178" s="1" customFormat="1">
      <c r="V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</row>
    <row r="160" spans="22:178" s="1" customFormat="1">
      <c r="V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</row>
    <row r="161" spans="22:178" s="1" customFormat="1">
      <c r="V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</row>
    <row r="162" spans="22:178" s="1" customFormat="1">
      <c r="V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</row>
    <row r="163" spans="22:178" s="1" customFormat="1">
      <c r="V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</row>
    <row r="164" spans="22:178" s="1" customFormat="1">
      <c r="V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</row>
    <row r="165" spans="22:178" s="1" customFormat="1">
      <c r="V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</row>
    <row r="166" spans="22:178" s="1" customFormat="1">
      <c r="V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</row>
    <row r="167" spans="22:178" s="1" customFormat="1">
      <c r="V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</row>
    <row r="168" spans="22:178" s="1" customFormat="1">
      <c r="V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</row>
    <row r="169" spans="22:178" s="1" customFormat="1">
      <c r="V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</row>
    <row r="170" spans="22:178" s="1" customFormat="1">
      <c r="V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</row>
    <row r="171" spans="22:178" s="1" customFormat="1">
      <c r="V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</row>
    <row r="172" spans="22:178" s="1" customFormat="1">
      <c r="V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</row>
    <row r="173" spans="22:178" s="1" customFormat="1">
      <c r="V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</row>
    <row r="174" spans="22:178" s="1" customFormat="1">
      <c r="V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</row>
    <row r="175" spans="22:178" s="1" customFormat="1">
      <c r="V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</row>
    <row r="176" spans="22:178" s="1" customFormat="1">
      <c r="V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</row>
    <row r="177" spans="22:178" s="1" customFormat="1">
      <c r="V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</row>
    <row r="178" spans="22:178" s="1" customFormat="1">
      <c r="V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</row>
    <row r="179" spans="22:178" s="1" customFormat="1">
      <c r="V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</row>
    <row r="180" spans="22:178" s="1" customFormat="1">
      <c r="V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</row>
    <row r="181" spans="22:178" s="1" customFormat="1">
      <c r="V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</row>
    <row r="182" spans="22:178" s="1" customFormat="1">
      <c r="V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</row>
    <row r="183" spans="22:178" s="1" customFormat="1">
      <c r="V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</row>
    <row r="184" spans="22:178" s="1" customFormat="1">
      <c r="V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</row>
    <row r="185" spans="22:178" s="1" customFormat="1">
      <c r="V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</row>
    <row r="186" spans="22:178" s="1" customFormat="1">
      <c r="V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</row>
    <row r="187" spans="22:178" s="1" customFormat="1">
      <c r="V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</row>
    <row r="188" spans="22:178" s="1" customFormat="1">
      <c r="V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</row>
    <row r="189" spans="22:178" s="1" customFormat="1">
      <c r="V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</row>
    <row r="190" spans="22:178" s="1" customFormat="1">
      <c r="V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</row>
    <row r="191" spans="22:178" s="1" customFormat="1">
      <c r="V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</row>
    <row r="192" spans="22:178" s="1" customFormat="1">
      <c r="V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</row>
    <row r="193" spans="22:178" s="1" customFormat="1">
      <c r="V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</row>
    <row r="194" spans="22:178" s="1" customFormat="1">
      <c r="V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</row>
    <row r="195" spans="22:178" s="1" customFormat="1">
      <c r="V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</row>
    <row r="196" spans="22:178" s="1" customFormat="1">
      <c r="V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</row>
    <row r="197" spans="22:178" s="1" customFormat="1">
      <c r="V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</row>
    <row r="198" spans="22:178" s="1" customFormat="1">
      <c r="V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</row>
    <row r="199" spans="22:178" s="1" customFormat="1">
      <c r="V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</row>
    <row r="200" spans="22:178" s="1" customFormat="1">
      <c r="V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</row>
    <row r="201" spans="22:178" s="1" customFormat="1">
      <c r="V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</row>
    <row r="202" spans="22:178" s="1" customFormat="1">
      <c r="V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</row>
    <row r="203" spans="22:178" s="1" customFormat="1">
      <c r="V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</row>
    <row r="204" spans="22:178" s="1" customFormat="1">
      <c r="V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</row>
    <row r="205" spans="22:178" s="1" customFormat="1">
      <c r="V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</row>
    <row r="206" spans="22:178" s="1" customFormat="1">
      <c r="V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</row>
    <row r="207" spans="22:178" s="1" customFormat="1">
      <c r="V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</row>
    <row r="208" spans="22:178" s="1" customFormat="1">
      <c r="V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</row>
    <row r="209" spans="22:178" s="1" customFormat="1">
      <c r="V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</row>
    <row r="210" spans="22:178" s="1" customFormat="1">
      <c r="V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</row>
    <row r="211" spans="22:178" s="1" customFormat="1">
      <c r="V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</row>
    <row r="212" spans="22:178" s="1" customFormat="1">
      <c r="V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</row>
    <row r="213" spans="22:178" s="1" customFormat="1">
      <c r="V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</row>
    <row r="214" spans="22:178" s="1" customFormat="1">
      <c r="V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</row>
    <row r="215" spans="22:178" s="1" customFormat="1">
      <c r="V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</row>
    <row r="216" spans="22:178" s="1" customFormat="1">
      <c r="V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</row>
    <row r="217" spans="22:178" s="1" customFormat="1">
      <c r="V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</row>
    <row r="218" spans="22:178" s="1" customFormat="1">
      <c r="V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</row>
    <row r="219" spans="22:178" s="1" customFormat="1">
      <c r="V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</row>
    <row r="220" spans="22:178" s="1" customFormat="1">
      <c r="V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</row>
    <row r="221" spans="22:178" s="1" customFormat="1">
      <c r="V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</row>
    <row r="222" spans="22:178" s="1" customFormat="1">
      <c r="V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</row>
    <row r="223" spans="22:178" s="1" customFormat="1">
      <c r="V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</row>
    <row r="224" spans="22:178" s="1" customFormat="1">
      <c r="V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</row>
    <row r="225" spans="22:178" s="1" customFormat="1">
      <c r="V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</row>
    <row r="226" spans="22:178" s="1" customFormat="1">
      <c r="V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</row>
    <row r="227" spans="22:178" s="1" customFormat="1">
      <c r="V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</row>
    <row r="228" spans="22:178" s="1" customFormat="1">
      <c r="V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</row>
    <row r="229" spans="22:178" s="1" customFormat="1">
      <c r="V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</row>
    <row r="230" spans="22:178" s="1" customFormat="1">
      <c r="V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</row>
    <row r="231" spans="22:178" s="1" customFormat="1">
      <c r="V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</row>
    <row r="232" spans="22:178" s="1" customFormat="1">
      <c r="V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</row>
    <row r="233" spans="22:178" s="1" customFormat="1">
      <c r="V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</row>
    <row r="234" spans="22:178" s="1" customFormat="1">
      <c r="V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</row>
    <row r="235" spans="22:178" s="1" customFormat="1">
      <c r="V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</row>
    <row r="236" spans="22:178" s="1" customFormat="1">
      <c r="V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</row>
    <row r="237" spans="22:178" s="1" customFormat="1">
      <c r="V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</row>
    <row r="238" spans="22:178" s="1" customFormat="1">
      <c r="V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</row>
    <row r="239" spans="22:178" s="1" customFormat="1">
      <c r="V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</row>
    <row r="240" spans="22:178" s="1" customFormat="1">
      <c r="V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</row>
    <row r="241" spans="22:178" s="1" customFormat="1">
      <c r="V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</row>
    <row r="242" spans="22:178" s="1" customFormat="1">
      <c r="V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</row>
    <row r="243" spans="22:178" s="1" customFormat="1">
      <c r="V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</row>
    <row r="244" spans="22:178" s="1" customFormat="1">
      <c r="V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</row>
    <row r="245" spans="22:178" s="1" customFormat="1">
      <c r="V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</row>
    <row r="246" spans="22:178" s="1" customFormat="1">
      <c r="V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</row>
    <row r="247" spans="22:178" s="1" customFormat="1">
      <c r="V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</row>
    <row r="248" spans="22:178" s="1" customFormat="1">
      <c r="V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</row>
    <row r="249" spans="22:178" s="1" customFormat="1">
      <c r="V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</row>
    <row r="250" spans="22:178" s="1" customFormat="1">
      <c r="V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</row>
    <row r="251" spans="22:178" s="1" customFormat="1">
      <c r="V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</row>
    <row r="252" spans="22:178" s="1" customFormat="1">
      <c r="V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</row>
    <row r="253" spans="22:178" s="1" customFormat="1">
      <c r="V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</row>
    <row r="254" spans="22:178" s="1" customFormat="1">
      <c r="V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</row>
    <row r="255" spans="22:178" s="1" customFormat="1">
      <c r="V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</row>
    <row r="256" spans="22:178" s="1" customFormat="1">
      <c r="V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</row>
    <row r="257" spans="22:178" s="1" customFormat="1">
      <c r="V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</row>
    <row r="258" spans="22:178" s="1" customFormat="1">
      <c r="V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</row>
    <row r="259" spans="22:178" s="1" customFormat="1">
      <c r="V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</row>
    <row r="260" spans="22:178" s="1" customFormat="1">
      <c r="V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</row>
    <row r="261" spans="22:178" s="1" customFormat="1">
      <c r="V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</row>
    <row r="262" spans="22:178" s="1" customFormat="1">
      <c r="V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</row>
    <row r="263" spans="22:178" s="1" customFormat="1">
      <c r="V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</row>
    <row r="264" spans="22:178" s="1" customFormat="1">
      <c r="V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</row>
    <row r="265" spans="22:178" s="1" customFormat="1">
      <c r="V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</row>
    <row r="266" spans="22:178" s="1" customFormat="1">
      <c r="V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</row>
    <row r="267" spans="22:178" s="1" customFormat="1">
      <c r="V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</row>
    <row r="268" spans="22:178" s="1" customFormat="1">
      <c r="V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</row>
    <row r="269" spans="22:178" s="1" customFormat="1">
      <c r="V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</row>
    <row r="270" spans="22:178" s="1" customFormat="1">
      <c r="V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</row>
    <row r="271" spans="22:178" s="1" customFormat="1">
      <c r="V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</row>
    <row r="272" spans="22:178" s="1" customFormat="1">
      <c r="V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</row>
    <row r="273" spans="22:178" s="1" customFormat="1">
      <c r="V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</row>
    <row r="274" spans="22:178" s="1" customFormat="1">
      <c r="V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</row>
    <row r="275" spans="22:178" s="1" customFormat="1">
      <c r="V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</row>
    <row r="276" spans="22:178" s="1" customFormat="1">
      <c r="V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</row>
    <row r="277" spans="22:178" s="1" customFormat="1">
      <c r="V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</row>
    <row r="278" spans="22:178" s="1" customFormat="1">
      <c r="V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</row>
    <row r="279" spans="22:178" s="1" customFormat="1">
      <c r="V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</row>
    <row r="280" spans="22:178" s="1" customFormat="1">
      <c r="V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</row>
    <row r="281" spans="22:178" s="1" customFormat="1">
      <c r="V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</row>
    <row r="282" spans="22:178" s="1" customFormat="1">
      <c r="V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</row>
    <row r="283" spans="22:178" s="1" customFormat="1">
      <c r="V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</row>
    <row r="284" spans="22:178" s="1" customFormat="1">
      <c r="V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</row>
    <row r="285" spans="22:178" s="1" customFormat="1">
      <c r="V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</row>
    <row r="286" spans="22:178" s="1" customFormat="1">
      <c r="V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</row>
    <row r="287" spans="22:178" s="1" customFormat="1">
      <c r="V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</row>
    <row r="288" spans="22:178" s="1" customFormat="1">
      <c r="V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</row>
    <row r="289" spans="22:178" s="1" customFormat="1">
      <c r="V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</row>
    <row r="290" spans="22:178" s="1" customFormat="1">
      <c r="V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</row>
    <row r="291" spans="22:178" s="1" customFormat="1">
      <c r="V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</row>
    <row r="292" spans="22:178" s="1" customFormat="1">
      <c r="V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</row>
    <row r="293" spans="22:178" s="1" customFormat="1">
      <c r="V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</row>
    <row r="294" spans="22:178" s="1" customFormat="1">
      <c r="V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</row>
    <row r="295" spans="22:178" s="1" customFormat="1">
      <c r="V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</row>
    <row r="296" spans="22:178" s="1" customFormat="1">
      <c r="V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</row>
    <row r="297" spans="22:178" s="1" customFormat="1">
      <c r="V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</row>
    <row r="298" spans="22:178" s="1" customFormat="1">
      <c r="V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</row>
    <row r="299" spans="22:178" s="1" customFormat="1">
      <c r="V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</row>
    <row r="300" spans="22:178" s="1" customFormat="1">
      <c r="V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</row>
    <row r="301" spans="22:178" s="1" customFormat="1">
      <c r="V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</row>
    <row r="302" spans="22:178" s="1" customFormat="1">
      <c r="V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</row>
    <row r="303" spans="22:178" s="1" customFormat="1">
      <c r="V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</row>
    <row r="304" spans="22:178" s="1" customFormat="1">
      <c r="V304" s="4"/>
    </row>
    <row r="305" spans="22:22" s="1" customFormat="1">
      <c r="V305" s="4"/>
    </row>
    <row r="306" spans="22:22" s="1" customFormat="1">
      <c r="V306" s="4"/>
    </row>
    <row r="307" spans="22:22" s="1" customFormat="1">
      <c r="V307" s="4"/>
    </row>
    <row r="308" spans="22:22" s="1" customFormat="1">
      <c r="V308" s="4"/>
    </row>
    <row r="309" spans="22:22" s="1" customFormat="1">
      <c r="V309" s="4"/>
    </row>
    <row r="310" spans="22:22" s="1" customFormat="1">
      <c r="V310" s="4"/>
    </row>
    <row r="311" spans="22:22" s="1" customFormat="1">
      <c r="V311" s="4"/>
    </row>
    <row r="312" spans="22:22" s="1" customFormat="1">
      <c r="V312" s="4"/>
    </row>
    <row r="313" spans="22:22" s="1" customFormat="1">
      <c r="V313" s="4"/>
    </row>
    <row r="314" spans="22:22" s="1" customFormat="1">
      <c r="V314" s="4"/>
    </row>
    <row r="315" spans="22:22" s="1" customFormat="1">
      <c r="V315" s="4"/>
    </row>
    <row r="316" spans="22:22" s="1" customFormat="1">
      <c r="V316" s="4"/>
    </row>
    <row r="317" spans="22:22" s="1" customFormat="1">
      <c r="V317" s="4"/>
    </row>
    <row r="318" spans="22:22" s="1" customFormat="1">
      <c r="V318" s="4"/>
    </row>
    <row r="319" spans="22:22" s="1" customFormat="1">
      <c r="V319" s="4"/>
    </row>
    <row r="320" spans="22:22" s="1" customFormat="1">
      <c r="V320" s="4"/>
    </row>
    <row r="321" spans="22:22" s="1" customFormat="1">
      <c r="V321" s="4"/>
    </row>
    <row r="322" spans="22:22" s="1" customFormat="1">
      <c r="V322" s="4"/>
    </row>
    <row r="323" spans="22:22" s="1" customFormat="1">
      <c r="V323" s="4"/>
    </row>
    <row r="324" spans="22:22" s="1" customFormat="1">
      <c r="V324" s="4"/>
    </row>
    <row r="325" spans="22:22" s="1" customFormat="1">
      <c r="V325" s="4"/>
    </row>
    <row r="326" spans="22:22" s="1" customFormat="1">
      <c r="V326" s="4"/>
    </row>
    <row r="327" spans="22:22" s="1" customFormat="1">
      <c r="V327" s="4"/>
    </row>
    <row r="328" spans="22:22" s="1" customFormat="1">
      <c r="V328" s="4"/>
    </row>
    <row r="329" spans="22:22" s="1" customFormat="1">
      <c r="V329" s="4"/>
    </row>
    <row r="330" spans="22:22" s="1" customFormat="1">
      <c r="V330" s="4"/>
    </row>
    <row r="331" spans="22:22" s="1" customFormat="1">
      <c r="V331" s="4"/>
    </row>
    <row r="332" spans="22:22" s="1" customFormat="1">
      <c r="V332" s="4"/>
    </row>
    <row r="333" spans="22:22" s="1" customFormat="1">
      <c r="V333" s="4"/>
    </row>
    <row r="334" spans="22:22" s="1" customFormat="1">
      <c r="V334" s="4"/>
    </row>
    <row r="335" spans="22:22" s="1" customFormat="1">
      <c r="V335" s="4"/>
    </row>
    <row r="336" spans="22:22" s="1" customFormat="1">
      <c r="V336" s="4"/>
    </row>
    <row r="337" spans="22:22" s="1" customFormat="1">
      <c r="V337" s="4"/>
    </row>
    <row r="338" spans="22:22" s="1" customFormat="1">
      <c r="V338" s="4"/>
    </row>
    <row r="339" spans="22:22" s="1" customFormat="1">
      <c r="V339" s="4"/>
    </row>
    <row r="340" spans="22:22" s="1" customFormat="1">
      <c r="V340" s="4"/>
    </row>
    <row r="341" spans="22:22" s="1" customFormat="1">
      <c r="V341" s="4"/>
    </row>
    <row r="342" spans="22:22" s="1" customFormat="1">
      <c r="V342" s="4"/>
    </row>
    <row r="343" spans="22:22" s="1" customFormat="1">
      <c r="V343" s="4"/>
    </row>
    <row r="344" spans="22:22" s="1" customFormat="1">
      <c r="V344" s="4"/>
    </row>
    <row r="345" spans="22:22" s="1" customFormat="1">
      <c r="V345" s="4"/>
    </row>
    <row r="346" spans="22:22" s="1" customFormat="1">
      <c r="V346" s="4"/>
    </row>
    <row r="347" spans="22:22" s="1" customFormat="1">
      <c r="V347" s="4"/>
    </row>
    <row r="348" spans="22:22" s="1" customFormat="1">
      <c r="V348" s="4"/>
    </row>
    <row r="349" spans="22:22" s="1" customFormat="1">
      <c r="V349" s="4"/>
    </row>
    <row r="350" spans="22:22" s="1" customFormat="1">
      <c r="V350" s="4"/>
    </row>
    <row r="351" spans="22:22" s="1" customFormat="1">
      <c r="V351" s="4"/>
    </row>
    <row r="352" spans="22:22" s="1" customFormat="1">
      <c r="V352" s="4"/>
    </row>
    <row r="353" spans="22:22" s="1" customFormat="1">
      <c r="V353" s="4"/>
    </row>
    <row r="354" spans="22:22" s="1" customFormat="1">
      <c r="V354" s="4"/>
    </row>
    <row r="355" spans="22:22" s="1" customFormat="1">
      <c r="V355" s="4"/>
    </row>
    <row r="356" spans="22:22" s="1" customFormat="1">
      <c r="V356" s="4"/>
    </row>
    <row r="357" spans="22:22" s="1" customFormat="1">
      <c r="V357" s="4"/>
    </row>
    <row r="358" spans="22:22" s="1" customFormat="1">
      <c r="V358" s="4"/>
    </row>
    <row r="359" spans="22:22" s="1" customFormat="1">
      <c r="V359" s="4"/>
    </row>
    <row r="360" spans="22:22" s="1" customFormat="1">
      <c r="V360" s="4"/>
    </row>
    <row r="361" spans="22:22" s="1" customFormat="1">
      <c r="V361" s="4"/>
    </row>
    <row r="362" spans="22:22" s="1" customFormat="1">
      <c r="V362" s="4"/>
    </row>
    <row r="363" spans="22:22" s="1" customFormat="1">
      <c r="V363" s="4"/>
    </row>
    <row r="364" spans="22:22" s="1" customFormat="1">
      <c r="V364" s="4"/>
    </row>
    <row r="365" spans="22:22" s="1" customFormat="1">
      <c r="V365" s="4"/>
    </row>
    <row r="366" spans="22:22" s="1" customFormat="1">
      <c r="V366" s="4"/>
    </row>
    <row r="367" spans="22:22" s="1" customFormat="1">
      <c r="V367" s="4"/>
    </row>
    <row r="368" spans="22:22" s="1" customFormat="1">
      <c r="V368" s="4"/>
    </row>
    <row r="369" spans="22:22" s="1" customFormat="1">
      <c r="V369" s="4"/>
    </row>
    <row r="370" spans="22:22" s="1" customFormat="1">
      <c r="V370" s="4"/>
    </row>
    <row r="371" spans="22:22" s="1" customFormat="1">
      <c r="V371" s="4"/>
    </row>
    <row r="372" spans="22:22" s="1" customFormat="1">
      <c r="V372" s="4"/>
    </row>
    <row r="373" spans="22:22" s="1" customFormat="1">
      <c r="V373" s="4"/>
    </row>
    <row r="374" spans="22:22" s="1" customFormat="1">
      <c r="V374" s="4"/>
    </row>
    <row r="375" spans="22:22" s="1" customFormat="1">
      <c r="V375" s="4"/>
    </row>
    <row r="376" spans="22:22" s="1" customFormat="1">
      <c r="V376" s="4"/>
    </row>
    <row r="377" spans="22:22" s="1" customFormat="1">
      <c r="V377" s="4"/>
    </row>
    <row r="378" spans="22:22" s="1" customFormat="1">
      <c r="V378" s="4"/>
    </row>
    <row r="379" spans="22:22" s="1" customFormat="1">
      <c r="V379" s="4"/>
    </row>
    <row r="380" spans="22:22" s="1" customFormat="1">
      <c r="V380" s="4"/>
    </row>
    <row r="381" spans="22:22" s="1" customFormat="1">
      <c r="V381" s="4"/>
    </row>
    <row r="382" spans="22:22" s="1" customFormat="1">
      <c r="V382" s="4"/>
    </row>
    <row r="383" spans="22:22" s="1" customFormat="1">
      <c r="V383" s="4"/>
    </row>
    <row r="384" spans="22:22" s="1" customFormat="1">
      <c r="V384" s="4"/>
    </row>
    <row r="385" spans="22:22" s="1" customFormat="1">
      <c r="V385" s="4"/>
    </row>
    <row r="386" spans="22:22" s="1" customFormat="1">
      <c r="V386" s="4"/>
    </row>
    <row r="387" spans="22:22" s="1" customFormat="1">
      <c r="V387" s="4"/>
    </row>
    <row r="388" spans="22:22" s="1" customFormat="1">
      <c r="V388" s="4"/>
    </row>
    <row r="389" spans="22:22" s="1" customFormat="1">
      <c r="V389" s="4"/>
    </row>
    <row r="390" spans="22:22" s="1" customFormat="1">
      <c r="V390" s="4"/>
    </row>
    <row r="391" spans="22:22" s="1" customFormat="1">
      <c r="V391" s="4"/>
    </row>
    <row r="392" spans="22:22" s="1" customFormat="1">
      <c r="V392" s="4"/>
    </row>
    <row r="393" spans="22:22" s="1" customFormat="1">
      <c r="V393" s="4"/>
    </row>
    <row r="394" spans="22:22" s="1" customFormat="1">
      <c r="V394" s="4"/>
    </row>
    <row r="395" spans="22:22" s="1" customFormat="1">
      <c r="V395" s="4"/>
    </row>
    <row r="396" spans="22:22" s="1" customFormat="1">
      <c r="V396" s="4"/>
    </row>
    <row r="397" spans="22:22" s="1" customFormat="1">
      <c r="V397" s="4"/>
    </row>
    <row r="398" spans="22:22" s="1" customFormat="1">
      <c r="V398" s="4"/>
    </row>
    <row r="399" spans="22:22" s="1" customFormat="1">
      <c r="V399" s="4"/>
    </row>
    <row r="400" spans="22:22" s="1" customFormat="1">
      <c r="V400" s="4"/>
    </row>
    <row r="401" spans="22:22" s="1" customFormat="1">
      <c r="V401" s="4"/>
    </row>
    <row r="402" spans="22:22" s="1" customFormat="1">
      <c r="V402" s="4"/>
    </row>
    <row r="403" spans="22:22" s="1" customFormat="1">
      <c r="V403" s="4"/>
    </row>
    <row r="404" spans="22:22" s="1" customFormat="1">
      <c r="V404" s="4"/>
    </row>
    <row r="405" spans="22:22" s="1" customFormat="1">
      <c r="V405" s="4"/>
    </row>
    <row r="406" spans="22:22" s="1" customFormat="1">
      <c r="V406" s="4"/>
    </row>
    <row r="407" spans="22:22" s="1" customFormat="1">
      <c r="V407" s="4"/>
    </row>
    <row r="408" spans="22:22" s="1" customFormat="1">
      <c r="V408" s="4"/>
    </row>
    <row r="409" spans="22:22" s="1" customFormat="1">
      <c r="V409" s="4"/>
    </row>
    <row r="410" spans="22:22" s="1" customFormat="1">
      <c r="V410" s="4"/>
    </row>
    <row r="411" spans="22:22" s="1" customFormat="1">
      <c r="V411" s="4"/>
    </row>
    <row r="412" spans="22:22" s="1" customFormat="1">
      <c r="V412" s="4"/>
    </row>
    <row r="413" spans="22:22" s="1" customFormat="1">
      <c r="V413" s="4"/>
    </row>
    <row r="414" spans="22:22" s="1" customFormat="1">
      <c r="V414" s="4"/>
    </row>
    <row r="415" spans="22:22" s="1" customFormat="1">
      <c r="V415" s="4"/>
    </row>
    <row r="416" spans="22:22" s="1" customFormat="1">
      <c r="V416" s="4"/>
    </row>
    <row r="417" spans="22:22" s="1" customFormat="1">
      <c r="V417" s="4"/>
    </row>
    <row r="418" spans="22:22" s="1" customFormat="1">
      <c r="V418" s="4"/>
    </row>
    <row r="419" spans="22:22" s="1" customFormat="1">
      <c r="V419" s="4"/>
    </row>
    <row r="420" spans="22:22" s="1" customFormat="1">
      <c r="V420" s="4"/>
    </row>
    <row r="421" spans="22:22" s="1" customFormat="1">
      <c r="V421" s="4"/>
    </row>
    <row r="422" spans="22:22" s="1" customFormat="1">
      <c r="V422" s="4"/>
    </row>
    <row r="423" spans="22:22" s="1" customFormat="1">
      <c r="V423" s="4"/>
    </row>
    <row r="424" spans="22:22" s="1" customFormat="1">
      <c r="V424" s="4"/>
    </row>
    <row r="425" spans="22:22" s="1" customFormat="1">
      <c r="V425" s="4"/>
    </row>
    <row r="426" spans="22:22" s="1" customFormat="1">
      <c r="V426" s="4"/>
    </row>
    <row r="427" spans="22:22" s="1" customFormat="1">
      <c r="V427" s="4"/>
    </row>
    <row r="428" spans="22:22" s="1" customFormat="1">
      <c r="V428" s="4"/>
    </row>
    <row r="429" spans="22:22" s="1" customFormat="1">
      <c r="V429" s="4"/>
    </row>
    <row r="430" spans="22:22" s="1" customFormat="1">
      <c r="V430" s="4"/>
    </row>
    <row r="431" spans="22:22" s="1" customFormat="1">
      <c r="V431" s="4"/>
    </row>
    <row r="432" spans="22:22" s="1" customFormat="1">
      <c r="V432" s="4"/>
    </row>
    <row r="433" spans="22:22" s="1" customFormat="1">
      <c r="V433" s="4"/>
    </row>
    <row r="434" spans="22:22" s="1" customFormat="1">
      <c r="V434" s="4"/>
    </row>
    <row r="435" spans="22:22" s="1" customFormat="1">
      <c r="V435" s="4"/>
    </row>
    <row r="436" spans="22:22" s="1" customFormat="1">
      <c r="V436" s="4"/>
    </row>
    <row r="437" spans="22:22" s="1" customFormat="1">
      <c r="V437" s="4"/>
    </row>
    <row r="438" spans="22:22" s="1" customFormat="1">
      <c r="V438" s="4"/>
    </row>
    <row r="439" spans="22:22" s="1" customFormat="1">
      <c r="V439" s="4"/>
    </row>
    <row r="440" spans="22:22" s="1" customFormat="1">
      <c r="V440" s="4"/>
    </row>
    <row r="441" spans="22:22" s="1" customFormat="1">
      <c r="V441" s="4"/>
    </row>
    <row r="442" spans="22:22" s="1" customFormat="1">
      <c r="V442" s="4"/>
    </row>
    <row r="443" spans="22:22" s="1" customFormat="1">
      <c r="V443" s="4"/>
    </row>
    <row r="444" spans="22:22" s="1" customFormat="1">
      <c r="V444" s="4"/>
    </row>
    <row r="445" spans="22:22" s="1" customFormat="1">
      <c r="V445" s="4"/>
    </row>
    <row r="446" spans="22:22" s="1" customFormat="1">
      <c r="V446" s="4"/>
    </row>
    <row r="447" spans="22:22" s="1" customFormat="1">
      <c r="V447" s="4"/>
    </row>
    <row r="448" spans="22:22" s="1" customFormat="1">
      <c r="V448" s="4"/>
    </row>
    <row r="449" spans="22:22" s="1" customFormat="1">
      <c r="V449" s="4"/>
    </row>
    <row r="450" spans="22:22" s="1" customFormat="1">
      <c r="V450" s="4"/>
    </row>
    <row r="451" spans="22:22" s="1" customFormat="1">
      <c r="V451" s="4"/>
    </row>
    <row r="452" spans="22:22" s="1" customFormat="1">
      <c r="V452" s="4"/>
    </row>
    <row r="453" spans="22:22" s="1" customFormat="1">
      <c r="V453" s="4"/>
    </row>
    <row r="454" spans="22:22" s="1" customFormat="1">
      <c r="V454" s="4"/>
    </row>
    <row r="455" spans="22:22" s="1" customFormat="1">
      <c r="V455" s="4"/>
    </row>
    <row r="456" spans="22:22" s="1" customFormat="1">
      <c r="V456" s="4"/>
    </row>
    <row r="457" spans="22:22" s="1" customFormat="1">
      <c r="V457" s="4"/>
    </row>
    <row r="458" spans="22:22" s="1" customFormat="1">
      <c r="V458" s="4"/>
    </row>
    <row r="459" spans="22:22" s="1" customFormat="1">
      <c r="V459" s="4"/>
    </row>
    <row r="460" spans="22:22" s="1" customFormat="1">
      <c r="V460" s="4"/>
    </row>
    <row r="461" spans="22:22" s="1" customFormat="1">
      <c r="V461" s="4"/>
    </row>
    <row r="462" spans="22:22" s="1" customFormat="1">
      <c r="V462" s="4"/>
    </row>
    <row r="463" spans="22:22" s="1" customFormat="1">
      <c r="V463" s="4"/>
    </row>
    <row r="464" spans="22:22" s="1" customFormat="1">
      <c r="V464" s="4"/>
    </row>
    <row r="465" spans="22:22" s="1" customFormat="1">
      <c r="V465" s="4"/>
    </row>
    <row r="466" spans="22:22" s="1" customFormat="1">
      <c r="V466" s="4"/>
    </row>
    <row r="467" spans="22:22" s="1" customFormat="1">
      <c r="V467" s="4"/>
    </row>
    <row r="468" spans="22:22" s="1" customFormat="1">
      <c r="V468" s="4"/>
    </row>
    <row r="469" spans="22:22" s="1" customFormat="1">
      <c r="V469" s="4"/>
    </row>
    <row r="470" spans="22:22" s="1" customFormat="1">
      <c r="V470" s="4"/>
    </row>
    <row r="471" spans="22:22" s="1" customFormat="1">
      <c r="V471" s="4"/>
    </row>
    <row r="472" spans="22:22" s="1" customFormat="1">
      <c r="V472" s="4"/>
    </row>
    <row r="473" spans="22:22" s="1" customFormat="1">
      <c r="V473" s="4"/>
    </row>
    <row r="474" spans="22:22" s="1" customFormat="1">
      <c r="V474" s="4"/>
    </row>
    <row r="475" spans="22:22" s="1" customFormat="1">
      <c r="V475" s="4"/>
    </row>
    <row r="476" spans="22:22" s="1" customFormat="1">
      <c r="V476" s="4"/>
    </row>
    <row r="477" spans="22:22" s="1" customFormat="1">
      <c r="V477" s="4"/>
    </row>
    <row r="478" spans="22:22" s="1" customFormat="1">
      <c r="V478" s="4"/>
    </row>
    <row r="479" spans="22:22" s="1" customFormat="1">
      <c r="V479" s="4"/>
    </row>
    <row r="480" spans="22:22" s="1" customFormat="1">
      <c r="V480" s="4"/>
    </row>
    <row r="481" spans="22:22" s="1" customFormat="1">
      <c r="V481" s="4"/>
    </row>
    <row r="482" spans="22:22" s="1" customFormat="1">
      <c r="V482" s="4"/>
    </row>
    <row r="483" spans="22:22" s="1" customFormat="1">
      <c r="V483" s="4"/>
    </row>
    <row r="484" spans="22:22" s="1" customFormat="1">
      <c r="V484" s="4"/>
    </row>
    <row r="485" spans="22:22" s="1" customFormat="1">
      <c r="V485" s="4"/>
    </row>
    <row r="486" spans="22:22" s="1" customFormat="1">
      <c r="V486" s="4"/>
    </row>
    <row r="487" spans="22:22" s="1" customFormat="1">
      <c r="V487" s="4"/>
    </row>
    <row r="488" spans="22:22" s="1" customFormat="1">
      <c r="V488" s="4"/>
    </row>
    <row r="489" spans="22:22" s="1" customFormat="1">
      <c r="V489" s="4"/>
    </row>
    <row r="490" spans="22:22" s="1" customFormat="1">
      <c r="V490" s="4"/>
    </row>
    <row r="491" spans="22:22" s="1" customFormat="1">
      <c r="V491" s="4"/>
    </row>
    <row r="492" spans="22:22" s="1" customFormat="1">
      <c r="V492" s="4"/>
    </row>
    <row r="493" spans="22:22" s="1" customFormat="1">
      <c r="V493" s="4"/>
    </row>
    <row r="494" spans="22:22" s="1" customFormat="1">
      <c r="V494" s="4"/>
    </row>
    <row r="495" spans="22:22" s="1" customFormat="1">
      <c r="V495" s="4"/>
    </row>
    <row r="496" spans="22:22" s="1" customFormat="1">
      <c r="V496" s="4"/>
    </row>
    <row r="497" spans="22:22" s="1" customFormat="1">
      <c r="V497" s="4"/>
    </row>
    <row r="498" spans="22:22" s="1" customFormat="1">
      <c r="V498" s="4"/>
    </row>
    <row r="499" spans="22:22" s="1" customFormat="1">
      <c r="V499" s="4"/>
    </row>
    <row r="500" spans="22:22" s="1" customFormat="1">
      <c r="V500" s="4"/>
    </row>
    <row r="501" spans="22:22" s="1" customFormat="1">
      <c r="V501" s="4"/>
    </row>
    <row r="502" spans="22:22" s="1" customFormat="1">
      <c r="V502" s="4"/>
    </row>
    <row r="503" spans="22:22" s="1" customFormat="1">
      <c r="V503" s="4"/>
    </row>
    <row r="504" spans="22:22" s="1" customFormat="1">
      <c r="V504" s="4"/>
    </row>
    <row r="505" spans="22:22" s="1" customFormat="1">
      <c r="V505" s="4"/>
    </row>
    <row r="506" spans="22:22" s="1" customFormat="1">
      <c r="V506" s="4"/>
    </row>
    <row r="507" spans="22:22" s="1" customFormat="1">
      <c r="V507" s="4"/>
    </row>
    <row r="508" spans="22:22" s="1" customFormat="1">
      <c r="V508" s="4"/>
    </row>
    <row r="509" spans="22:22" s="1" customFormat="1">
      <c r="V509" s="4"/>
    </row>
    <row r="510" spans="22:22" s="1" customFormat="1">
      <c r="V510" s="4"/>
    </row>
    <row r="511" spans="22:22" s="1" customFormat="1">
      <c r="V511" s="4"/>
    </row>
    <row r="512" spans="22:22" s="1" customFormat="1">
      <c r="V512" s="4"/>
    </row>
    <row r="513" spans="22:22" s="1" customFormat="1">
      <c r="V513" s="4"/>
    </row>
    <row r="514" spans="22:22" s="1" customFormat="1">
      <c r="V514" s="4"/>
    </row>
    <row r="515" spans="22:22" s="1" customFormat="1">
      <c r="V515" s="4"/>
    </row>
    <row r="516" spans="22:22" s="1" customFormat="1">
      <c r="V516" s="4"/>
    </row>
    <row r="517" spans="22:22" s="1" customFormat="1">
      <c r="V517" s="4"/>
    </row>
    <row r="518" spans="22:22" s="1" customFormat="1">
      <c r="V518" s="4"/>
    </row>
    <row r="519" spans="22:22" s="1" customFormat="1">
      <c r="V519" s="4"/>
    </row>
    <row r="520" spans="22:22" s="1" customFormat="1">
      <c r="V520" s="4"/>
    </row>
    <row r="521" spans="22:22" s="1" customFormat="1">
      <c r="V521" s="4"/>
    </row>
    <row r="522" spans="22:22" s="1" customFormat="1">
      <c r="V522" s="4"/>
    </row>
    <row r="523" spans="22:22" s="1" customFormat="1">
      <c r="V523" s="4"/>
    </row>
    <row r="524" spans="22:22" s="1" customFormat="1">
      <c r="V524" s="4"/>
    </row>
    <row r="525" spans="22:22" s="1" customFormat="1">
      <c r="V525" s="4"/>
    </row>
    <row r="526" spans="22:22" s="1" customFormat="1">
      <c r="V526" s="4"/>
    </row>
    <row r="527" spans="22:22" s="1" customFormat="1">
      <c r="V527" s="4"/>
    </row>
    <row r="528" spans="22:22" s="1" customFormat="1">
      <c r="V528" s="4"/>
    </row>
    <row r="529" spans="22:22" s="1" customFormat="1">
      <c r="V529" s="4"/>
    </row>
    <row r="530" spans="22:22" s="1" customFormat="1">
      <c r="V530" s="4"/>
    </row>
    <row r="531" spans="22:22" s="1" customFormat="1">
      <c r="V531" s="4"/>
    </row>
    <row r="532" spans="22:22" s="1" customFormat="1">
      <c r="V532" s="4"/>
    </row>
    <row r="533" spans="22:22" s="1" customFormat="1">
      <c r="V533" s="4"/>
    </row>
    <row r="534" spans="22:22" s="1" customFormat="1">
      <c r="V534" s="4"/>
    </row>
    <row r="535" spans="22:22" s="1" customFormat="1">
      <c r="V535" s="4"/>
    </row>
    <row r="536" spans="22:22" s="1" customFormat="1">
      <c r="V536" s="4"/>
    </row>
    <row r="537" spans="22:22" s="1" customFormat="1">
      <c r="V537" s="4"/>
    </row>
    <row r="538" spans="22:22" s="1" customFormat="1">
      <c r="V538" s="4"/>
    </row>
    <row r="539" spans="22:22" s="1" customFormat="1">
      <c r="V539" s="4"/>
    </row>
    <row r="540" spans="22:22" s="1" customFormat="1">
      <c r="V540" s="4"/>
    </row>
    <row r="541" spans="22:22" s="1" customFormat="1">
      <c r="V541" s="4"/>
    </row>
    <row r="542" spans="22:22" s="1" customFormat="1">
      <c r="V542" s="4"/>
    </row>
    <row r="543" spans="22:22" s="1" customFormat="1">
      <c r="V543" s="4"/>
    </row>
    <row r="544" spans="22:22" s="1" customFormat="1">
      <c r="V544" s="4"/>
    </row>
    <row r="545" spans="22:22" s="1" customFormat="1">
      <c r="V545" s="4"/>
    </row>
    <row r="546" spans="22:22" s="1" customFormat="1">
      <c r="V546" s="4"/>
    </row>
    <row r="547" spans="22:22" s="1" customFormat="1">
      <c r="V547" s="4"/>
    </row>
    <row r="548" spans="22:22" s="1" customFormat="1">
      <c r="V548" s="4"/>
    </row>
    <row r="549" spans="22:22" s="1" customFormat="1">
      <c r="V549" s="4"/>
    </row>
    <row r="550" spans="22:22" s="1" customFormat="1">
      <c r="V550" s="4"/>
    </row>
    <row r="551" spans="22:22" s="1" customFormat="1">
      <c r="V551" s="4"/>
    </row>
    <row r="552" spans="22:22" s="1" customFormat="1">
      <c r="V552" s="4"/>
    </row>
    <row r="553" spans="22:22" s="1" customFormat="1">
      <c r="V553" s="4"/>
    </row>
    <row r="554" spans="22:22" s="1" customFormat="1">
      <c r="V554" s="4"/>
    </row>
    <row r="555" spans="22:22" s="1" customFormat="1">
      <c r="V555" s="4"/>
    </row>
    <row r="556" spans="22:22" s="1" customFormat="1">
      <c r="V556" s="4"/>
    </row>
    <row r="557" spans="22:22" s="1" customFormat="1">
      <c r="V557" s="4"/>
    </row>
    <row r="558" spans="22:22" s="1" customFormat="1">
      <c r="V558" s="4"/>
    </row>
    <row r="559" spans="22:22" s="1" customFormat="1">
      <c r="V559" s="4"/>
    </row>
    <row r="560" spans="22:22" s="1" customFormat="1">
      <c r="V560" s="4"/>
    </row>
    <row r="561" spans="22:22" s="1" customFormat="1">
      <c r="V561" s="4"/>
    </row>
    <row r="562" spans="22:22" s="1" customFormat="1">
      <c r="V562" s="4"/>
    </row>
    <row r="563" spans="22:22" s="1" customFormat="1">
      <c r="V563" s="4"/>
    </row>
    <row r="564" spans="22:22" s="1" customFormat="1">
      <c r="V564" s="4"/>
    </row>
    <row r="565" spans="22:22" s="1" customFormat="1">
      <c r="V565" s="4"/>
    </row>
    <row r="566" spans="22:22" s="1" customFormat="1">
      <c r="V566" s="4"/>
    </row>
    <row r="567" spans="22:22" s="1" customFormat="1">
      <c r="V567" s="4"/>
    </row>
    <row r="568" spans="22:22" s="1" customFormat="1">
      <c r="V568" s="4"/>
    </row>
    <row r="569" spans="22:22" s="1" customFormat="1">
      <c r="V569" s="4"/>
    </row>
    <row r="570" spans="22:22" s="1" customFormat="1">
      <c r="V570" s="4"/>
    </row>
    <row r="571" spans="22:22" s="1" customFormat="1">
      <c r="V571" s="4"/>
    </row>
    <row r="572" spans="22:22" s="1" customFormat="1">
      <c r="V572" s="4"/>
    </row>
    <row r="573" spans="22:22" s="1" customFormat="1">
      <c r="V573" s="4"/>
    </row>
    <row r="574" spans="22:22" s="1" customFormat="1">
      <c r="V574" s="4"/>
    </row>
    <row r="575" spans="22:22" s="1" customFormat="1">
      <c r="V575" s="4"/>
    </row>
    <row r="576" spans="22:22" s="1" customFormat="1">
      <c r="V576" s="4"/>
    </row>
    <row r="577" spans="22:22" s="1" customFormat="1">
      <c r="V577" s="4"/>
    </row>
    <row r="578" spans="22:22" s="1" customFormat="1">
      <c r="V578" s="4"/>
    </row>
    <row r="579" spans="22:22" s="1" customFormat="1">
      <c r="V579" s="4"/>
    </row>
    <row r="580" spans="22:22" s="1" customFormat="1">
      <c r="V580" s="4"/>
    </row>
    <row r="581" spans="22:22" s="1" customFormat="1">
      <c r="V581" s="4"/>
    </row>
    <row r="582" spans="22:22" s="1" customFormat="1">
      <c r="V582" s="4"/>
    </row>
    <row r="583" spans="22:22" s="1" customFormat="1">
      <c r="V583" s="4"/>
    </row>
    <row r="584" spans="22:22" s="1" customFormat="1">
      <c r="V584" s="4"/>
    </row>
    <row r="585" spans="22:22" s="1" customFormat="1">
      <c r="V585" s="4"/>
    </row>
    <row r="586" spans="22:22" s="1" customFormat="1">
      <c r="V586" s="4"/>
    </row>
    <row r="587" spans="22:22" s="1" customFormat="1">
      <c r="V587" s="4"/>
    </row>
    <row r="588" spans="22:22" s="1" customFormat="1">
      <c r="V588" s="4"/>
    </row>
    <row r="589" spans="22:22" s="1" customFormat="1">
      <c r="V589" s="4"/>
    </row>
    <row r="590" spans="22:22" s="1" customFormat="1">
      <c r="V590" s="4"/>
    </row>
    <row r="591" spans="22:22" s="1" customFormat="1">
      <c r="V591" s="4"/>
    </row>
    <row r="592" spans="22:22" s="1" customFormat="1">
      <c r="V592" s="4"/>
    </row>
    <row r="593" spans="22:22" s="1" customFormat="1">
      <c r="V593" s="4"/>
    </row>
    <row r="594" spans="22:22" s="1" customFormat="1">
      <c r="V594" s="4"/>
    </row>
    <row r="595" spans="22:22" s="1" customFormat="1">
      <c r="V595" s="4"/>
    </row>
    <row r="596" spans="22:22" s="1" customFormat="1">
      <c r="V596" s="4"/>
    </row>
    <row r="597" spans="22:22" s="1" customFormat="1">
      <c r="V597" s="4"/>
    </row>
    <row r="598" spans="22:22" s="1" customFormat="1">
      <c r="V598" s="4"/>
    </row>
    <row r="599" spans="22:22" s="1" customFormat="1">
      <c r="V599" s="4"/>
    </row>
    <row r="600" spans="22:22" s="1" customFormat="1">
      <c r="V600" s="4"/>
    </row>
    <row r="601" spans="22:22" s="1" customFormat="1">
      <c r="V601" s="4"/>
    </row>
    <row r="602" spans="22:22" s="1" customFormat="1">
      <c r="V602" s="4"/>
    </row>
    <row r="603" spans="22:22" s="1" customFormat="1">
      <c r="V603" s="4"/>
    </row>
    <row r="604" spans="22:22" s="1" customFormat="1">
      <c r="V604" s="4"/>
    </row>
    <row r="605" spans="22:22" s="1" customFormat="1">
      <c r="V605" s="4"/>
    </row>
    <row r="606" spans="22:22" s="1" customFormat="1">
      <c r="V606" s="4"/>
    </row>
    <row r="607" spans="22:22" s="1" customFormat="1">
      <c r="V607" s="4"/>
    </row>
    <row r="608" spans="22:22" s="1" customFormat="1">
      <c r="V608" s="4"/>
    </row>
    <row r="609" spans="22:22" s="1" customFormat="1">
      <c r="V609" s="4"/>
    </row>
    <row r="610" spans="22:22" s="1" customFormat="1">
      <c r="V610" s="4"/>
    </row>
    <row r="611" spans="22:22" s="1" customFormat="1">
      <c r="V611" s="4"/>
    </row>
    <row r="612" spans="22:22" s="1" customFormat="1">
      <c r="V612" s="4"/>
    </row>
    <row r="613" spans="22:22" s="1" customFormat="1">
      <c r="V613" s="4"/>
    </row>
    <row r="614" spans="22:22" s="1" customFormat="1">
      <c r="V614" s="4"/>
    </row>
    <row r="615" spans="22:22" s="1" customFormat="1">
      <c r="V615" s="4"/>
    </row>
    <row r="616" spans="22:22" s="1" customFormat="1">
      <c r="V616" s="4"/>
    </row>
    <row r="617" spans="22:22" s="1" customFormat="1">
      <c r="V617" s="4"/>
    </row>
    <row r="618" spans="22:22" s="1" customFormat="1">
      <c r="V618" s="4"/>
    </row>
    <row r="619" spans="22:22" s="1" customFormat="1">
      <c r="V619" s="4"/>
    </row>
    <row r="620" spans="22:22" s="1" customFormat="1">
      <c r="V620" s="4"/>
    </row>
    <row r="621" spans="22:22" s="1" customFormat="1">
      <c r="V621" s="4"/>
    </row>
    <row r="622" spans="22:22" s="1" customFormat="1">
      <c r="V622" s="4"/>
    </row>
    <row r="623" spans="22:22" s="1" customFormat="1">
      <c r="V623" s="4"/>
    </row>
    <row r="624" spans="22:22" s="1" customFormat="1">
      <c r="V624" s="4"/>
    </row>
    <row r="625" spans="22:22" s="1" customFormat="1">
      <c r="V625" s="4"/>
    </row>
    <row r="626" spans="22:22" s="1" customFormat="1">
      <c r="V626" s="4"/>
    </row>
    <row r="627" spans="22:22" s="1" customFormat="1">
      <c r="V627" s="4"/>
    </row>
    <row r="628" spans="22:22" s="1" customFormat="1">
      <c r="V628" s="4"/>
    </row>
    <row r="629" spans="22:22" s="1" customFormat="1">
      <c r="V629" s="4"/>
    </row>
    <row r="630" spans="22:22" s="1" customFormat="1">
      <c r="V630" s="4"/>
    </row>
    <row r="631" spans="22:22" s="1" customFormat="1">
      <c r="V631" s="4"/>
    </row>
    <row r="632" spans="22:22" s="1" customFormat="1">
      <c r="V632" s="4"/>
    </row>
    <row r="633" spans="22:22" s="1" customFormat="1">
      <c r="V633" s="4"/>
    </row>
    <row r="634" spans="22:22" s="1" customFormat="1">
      <c r="V634" s="4"/>
    </row>
    <row r="635" spans="22:22" s="1" customFormat="1">
      <c r="V635" s="4"/>
    </row>
    <row r="636" spans="22:22" s="1" customFormat="1">
      <c r="V636" s="4"/>
    </row>
    <row r="637" spans="22:22" s="1" customFormat="1">
      <c r="V637" s="4"/>
    </row>
    <row r="638" spans="22:22" s="1" customFormat="1">
      <c r="V638" s="4"/>
    </row>
    <row r="639" spans="22:22" s="1" customFormat="1">
      <c r="V639" s="4"/>
    </row>
    <row r="640" spans="22:22" s="1" customFormat="1">
      <c r="V640" s="4"/>
    </row>
    <row r="641" spans="22:22" s="1" customFormat="1">
      <c r="V641" s="4"/>
    </row>
    <row r="642" spans="22:22" s="1" customFormat="1">
      <c r="V642" s="4"/>
    </row>
    <row r="643" spans="22:22" s="1" customFormat="1">
      <c r="V643" s="4"/>
    </row>
    <row r="644" spans="22:22" s="1" customFormat="1">
      <c r="V644" s="4"/>
    </row>
    <row r="645" spans="22:22" s="1" customFormat="1">
      <c r="V645" s="4"/>
    </row>
    <row r="646" spans="22:22" s="1" customFormat="1">
      <c r="V646" s="4"/>
    </row>
    <row r="647" spans="22:22" s="1" customFormat="1">
      <c r="V647" s="4"/>
    </row>
    <row r="648" spans="22:22" s="1" customFormat="1">
      <c r="V648" s="4"/>
    </row>
    <row r="649" spans="22:22" s="1" customFormat="1">
      <c r="V649" s="4"/>
    </row>
    <row r="650" spans="22:22" s="1" customFormat="1">
      <c r="V650" s="4"/>
    </row>
    <row r="651" spans="22:22" s="1" customFormat="1">
      <c r="V651" s="4"/>
    </row>
    <row r="652" spans="22:22" s="1" customFormat="1">
      <c r="V652" s="4"/>
    </row>
    <row r="653" spans="22:22" s="1" customFormat="1">
      <c r="V653" s="4"/>
    </row>
    <row r="654" spans="22:22" s="1" customFormat="1">
      <c r="V654" s="4"/>
    </row>
    <row r="655" spans="22:22" s="1" customFormat="1">
      <c r="V655" s="4"/>
    </row>
    <row r="656" spans="22:22" s="1" customFormat="1">
      <c r="V656" s="4"/>
    </row>
    <row r="657" spans="22:22" s="1" customFormat="1">
      <c r="V657" s="4"/>
    </row>
    <row r="658" spans="22:22" s="1" customFormat="1">
      <c r="V658" s="4"/>
    </row>
    <row r="659" spans="22:22" s="1" customFormat="1">
      <c r="V659" s="4"/>
    </row>
    <row r="660" spans="22:22" s="1" customFormat="1">
      <c r="V660" s="4"/>
    </row>
    <row r="661" spans="22:22" s="1" customFormat="1">
      <c r="V661" s="4"/>
    </row>
    <row r="662" spans="22:22" s="1" customFormat="1">
      <c r="V662" s="4"/>
    </row>
    <row r="663" spans="22:22" s="1" customFormat="1">
      <c r="V663" s="4"/>
    </row>
    <row r="664" spans="22:22" s="1" customFormat="1">
      <c r="V664" s="4"/>
    </row>
    <row r="665" spans="22:22" s="1" customFormat="1">
      <c r="V665" s="4"/>
    </row>
    <row r="666" spans="22:22" s="1" customFormat="1">
      <c r="V666" s="4"/>
    </row>
    <row r="667" spans="22:22" s="1" customFormat="1">
      <c r="V667" s="4"/>
    </row>
    <row r="668" spans="22:22" s="1" customFormat="1">
      <c r="V668" s="4"/>
    </row>
    <row r="669" spans="22:22" s="1" customFormat="1">
      <c r="V669" s="4"/>
    </row>
    <row r="670" spans="22:22" s="1" customFormat="1">
      <c r="V670" s="4"/>
    </row>
    <row r="671" spans="22:22" s="1" customFormat="1">
      <c r="V671" s="4"/>
    </row>
    <row r="672" spans="22:22" s="1" customFormat="1">
      <c r="V672" s="4"/>
    </row>
    <row r="673" spans="22:22" s="1" customFormat="1">
      <c r="V673" s="4"/>
    </row>
    <row r="674" spans="22:22" s="1" customFormat="1">
      <c r="V674" s="4"/>
    </row>
    <row r="675" spans="22:22" s="1" customFormat="1">
      <c r="V675" s="4"/>
    </row>
    <row r="676" spans="22:22" s="1" customFormat="1">
      <c r="V676" s="4"/>
    </row>
    <row r="677" spans="22:22" s="1" customFormat="1">
      <c r="V677" s="4"/>
    </row>
    <row r="678" spans="22:22" s="1" customFormat="1">
      <c r="V678" s="4"/>
    </row>
    <row r="679" spans="22:22" s="1" customFormat="1">
      <c r="V679" s="4"/>
    </row>
    <row r="680" spans="22:22" s="1" customFormat="1">
      <c r="V680" s="4"/>
    </row>
    <row r="681" spans="22:22" s="1" customFormat="1">
      <c r="V681" s="4"/>
    </row>
    <row r="682" spans="22:22" s="1" customFormat="1">
      <c r="V682" s="4"/>
    </row>
    <row r="683" spans="22:22" s="1" customFormat="1">
      <c r="V683" s="4"/>
    </row>
    <row r="684" spans="22:22" s="1" customFormat="1">
      <c r="V684" s="4"/>
    </row>
    <row r="685" spans="22:22" s="1" customFormat="1">
      <c r="V685" s="4"/>
    </row>
    <row r="686" spans="22:22" s="1" customFormat="1">
      <c r="V686" s="4"/>
    </row>
    <row r="687" spans="22:22" s="1" customFormat="1">
      <c r="V687" s="4"/>
    </row>
    <row r="688" spans="22:22" s="1" customFormat="1">
      <c r="V688" s="4"/>
    </row>
    <row r="689" spans="22:22" s="1" customFormat="1">
      <c r="V689" s="4"/>
    </row>
    <row r="690" spans="22:22" s="1" customFormat="1">
      <c r="V690" s="4"/>
    </row>
    <row r="691" spans="22:22" s="1" customFormat="1">
      <c r="V691" s="4"/>
    </row>
    <row r="692" spans="22:22" s="1" customFormat="1">
      <c r="V692" s="4"/>
    </row>
    <row r="693" spans="22:22" s="1" customFormat="1">
      <c r="V693" s="4"/>
    </row>
    <row r="694" spans="22:22" s="1" customFormat="1">
      <c r="V694" s="4"/>
    </row>
    <row r="695" spans="22:22" s="1" customFormat="1">
      <c r="V695" s="4"/>
    </row>
    <row r="696" spans="22:22" s="1" customFormat="1">
      <c r="V696" s="4"/>
    </row>
    <row r="697" spans="22:22" s="1" customFormat="1">
      <c r="V697" s="4"/>
    </row>
    <row r="698" spans="22:22" s="1" customFormat="1">
      <c r="V698" s="4"/>
    </row>
    <row r="699" spans="22:22" s="1" customFormat="1">
      <c r="V699" s="4"/>
    </row>
    <row r="700" spans="22:22" s="1" customFormat="1">
      <c r="V700" s="4"/>
    </row>
    <row r="701" spans="22:22" s="1" customFormat="1">
      <c r="V701" s="4"/>
    </row>
    <row r="702" spans="22:22" s="1" customFormat="1">
      <c r="V702" s="4"/>
    </row>
    <row r="703" spans="22:22" s="1" customFormat="1">
      <c r="V703" s="4"/>
    </row>
    <row r="704" spans="22:22" s="1" customFormat="1">
      <c r="V704" s="4"/>
    </row>
    <row r="705" spans="22:22" s="1" customFormat="1">
      <c r="V705" s="4"/>
    </row>
    <row r="706" spans="22:22" s="1" customFormat="1">
      <c r="V706" s="4"/>
    </row>
    <row r="707" spans="22:22" s="1" customFormat="1">
      <c r="V707" s="4"/>
    </row>
    <row r="708" spans="22:22" s="1" customFormat="1">
      <c r="V708" s="4"/>
    </row>
    <row r="709" spans="22:22" s="1" customFormat="1">
      <c r="V709" s="4"/>
    </row>
    <row r="710" spans="22:22" s="1" customFormat="1">
      <c r="V710" s="4"/>
    </row>
    <row r="711" spans="22:22" s="1" customFormat="1">
      <c r="V711" s="4"/>
    </row>
    <row r="712" spans="22:22" s="1" customFormat="1">
      <c r="V712" s="4"/>
    </row>
    <row r="713" spans="22:22" s="1" customFormat="1">
      <c r="V713" s="4"/>
    </row>
    <row r="714" spans="22:22" s="1" customFormat="1">
      <c r="V714" s="4"/>
    </row>
    <row r="715" spans="22:22" s="1" customFormat="1">
      <c r="V715" s="4"/>
    </row>
    <row r="716" spans="22:22" s="1" customFormat="1">
      <c r="V716" s="4"/>
    </row>
    <row r="717" spans="22:22" s="1" customFormat="1">
      <c r="V717" s="4"/>
    </row>
    <row r="718" spans="22:22" s="1" customFormat="1">
      <c r="V718" s="4"/>
    </row>
    <row r="719" spans="22:22" s="1" customFormat="1">
      <c r="V719" s="4"/>
    </row>
    <row r="720" spans="22:22" s="1" customFormat="1">
      <c r="V720" s="4"/>
    </row>
    <row r="721" spans="22:22" s="1" customFormat="1">
      <c r="V721" s="4"/>
    </row>
    <row r="722" spans="22:22" s="1" customFormat="1">
      <c r="V722" s="4"/>
    </row>
    <row r="723" spans="22:22" s="1" customFormat="1">
      <c r="V723" s="4"/>
    </row>
    <row r="724" spans="22:22" s="1" customFormat="1">
      <c r="V724" s="4"/>
    </row>
    <row r="725" spans="22:22" s="1" customFormat="1">
      <c r="V725" s="4"/>
    </row>
    <row r="726" spans="22:22" s="1" customFormat="1">
      <c r="V726" s="4"/>
    </row>
    <row r="727" spans="22:22" s="1" customFormat="1">
      <c r="V727" s="4"/>
    </row>
    <row r="728" spans="22:22" s="1" customFormat="1">
      <c r="V728" s="4"/>
    </row>
    <row r="729" spans="22:22" s="1" customFormat="1">
      <c r="V729" s="4"/>
    </row>
    <row r="730" spans="22:22" s="1" customFormat="1">
      <c r="V730" s="4"/>
    </row>
    <row r="731" spans="22:22" s="1" customFormat="1">
      <c r="V731" s="4"/>
    </row>
    <row r="732" spans="22:22" s="1" customFormat="1">
      <c r="V732" s="4"/>
    </row>
    <row r="733" spans="22:22" s="1" customFormat="1">
      <c r="V733" s="4"/>
    </row>
    <row r="734" spans="22:22" s="1" customFormat="1">
      <c r="V734" s="4"/>
    </row>
    <row r="735" spans="22:22" s="1" customFormat="1">
      <c r="V735" s="4"/>
    </row>
    <row r="736" spans="22:22" s="1" customFormat="1">
      <c r="V736" s="4"/>
    </row>
    <row r="737" spans="22:22" s="1" customFormat="1">
      <c r="V737" s="4"/>
    </row>
    <row r="738" spans="22:22" s="1" customFormat="1">
      <c r="V738" s="4"/>
    </row>
    <row r="739" spans="22:22" s="1" customFormat="1">
      <c r="V739" s="4"/>
    </row>
    <row r="740" spans="22:22" s="1" customFormat="1">
      <c r="V740" s="4"/>
    </row>
    <row r="741" spans="22:22" s="1" customFormat="1">
      <c r="V741" s="4"/>
    </row>
    <row r="742" spans="22:22" s="1" customFormat="1">
      <c r="V742" s="4"/>
    </row>
    <row r="743" spans="22:22" s="1" customFormat="1">
      <c r="V743" s="4"/>
    </row>
    <row r="744" spans="22:22" s="1" customFormat="1">
      <c r="V744" s="4"/>
    </row>
    <row r="745" spans="22:22" s="1" customFormat="1">
      <c r="V745" s="4"/>
    </row>
    <row r="746" spans="22:22" s="1" customFormat="1">
      <c r="V746" s="4"/>
    </row>
    <row r="747" spans="22:22" s="1" customFormat="1">
      <c r="V747" s="4"/>
    </row>
    <row r="748" spans="22:22" s="1" customFormat="1">
      <c r="V748" s="4"/>
    </row>
    <row r="749" spans="22:22" s="1" customFormat="1">
      <c r="V749" s="4"/>
    </row>
    <row r="750" spans="22:22" s="1" customFormat="1">
      <c r="V750" s="4"/>
    </row>
    <row r="751" spans="22:22" s="1" customFormat="1">
      <c r="V751" s="4"/>
    </row>
    <row r="752" spans="22:22" s="1" customFormat="1">
      <c r="V752" s="4"/>
    </row>
    <row r="753" spans="22:22" s="1" customFormat="1">
      <c r="V753" s="4"/>
    </row>
    <row r="754" spans="22:22" s="1" customFormat="1">
      <c r="V754" s="4"/>
    </row>
    <row r="755" spans="22:22" s="1" customFormat="1">
      <c r="V755" s="4"/>
    </row>
    <row r="756" spans="22:22" s="1" customFormat="1">
      <c r="V756" s="4"/>
    </row>
    <row r="757" spans="22:22" s="1" customFormat="1">
      <c r="V757" s="4"/>
    </row>
    <row r="758" spans="22:22" s="1" customFormat="1">
      <c r="V758" s="4"/>
    </row>
    <row r="759" spans="22:22" s="1" customFormat="1">
      <c r="V759" s="4"/>
    </row>
    <row r="760" spans="22:22" s="1" customFormat="1">
      <c r="V760" s="4"/>
    </row>
    <row r="761" spans="22:22" s="1" customFormat="1">
      <c r="V761" s="4"/>
    </row>
    <row r="762" spans="22:22" s="1" customFormat="1">
      <c r="V762" s="4"/>
    </row>
    <row r="763" spans="22:22" s="1" customFormat="1">
      <c r="V763" s="4"/>
    </row>
    <row r="764" spans="22:22" s="1" customFormat="1">
      <c r="V764" s="4"/>
    </row>
    <row r="765" spans="22:22" s="1" customFormat="1">
      <c r="V765" s="4"/>
    </row>
    <row r="766" spans="22:22" s="1" customFormat="1">
      <c r="V766" s="4"/>
    </row>
    <row r="767" spans="22:22" s="1" customFormat="1">
      <c r="V767" s="4"/>
    </row>
    <row r="768" spans="22:22" s="1" customFormat="1">
      <c r="V768" s="4"/>
    </row>
    <row r="769" spans="22:22" s="1" customFormat="1">
      <c r="V769" s="4"/>
    </row>
    <row r="770" spans="22:22" s="1" customFormat="1">
      <c r="V770" s="4"/>
    </row>
    <row r="771" spans="22:22" s="1" customFormat="1">
      <c r="V771" s="4"/>
    </row>
    <row r="772" spans="22:22" s="1" customFormat="1">
      <c r="V772" s="4"/>
    </row>
    <row r="773" spans="22:22" s="1" customFormat="1">
      <c r="V773" s="4"/>
    </row>
    <row r="774" spans="22:22" s="1" customFormat="1">
      <c r="V774" s="4"/>
    </row>
    <row r="775" spans="22:22" s="1" customFormat="1">
      <c r="V775" s="4"/>
    </row>
    <row r="776" spans="22:22" s="1" customFormat="1">
      <c r="V776" s="4"/>
    </row>
    <row r="777" spans="22:22" s="1" customFormat="1">
      <c r="V777" s="4"/>
    </row>
    <row r="778" spans="22:22" s="1" customFormat="1">
      <c r="V778" s="4"/>
    </row>
    <row r="779" spans="22:22" s="1" customFormat="1">
      <c r="V779" s="4"/>
    </row>
    <row r="780" spans="22:22" s="1" customFormat="1">
      <c r="V780" s="4"/>
    </row>
    <row r="781" spans="22:22" s="1" customFormat="1">
      <c r="V781" s="4"/>
    </row>
    <row r="782" spans="22:22" s="1" customFormat="1">
      <c r="V782" s="4"/>
    </row>
    <row r="783" spans="22:22" s="1" customFormat="1">
      <c r="V783" s="4"/>
    </row>
    <row r="784" spans="22:22" s="1" customFormat="1">
      <c r="V784" s="4"/>
    </row>
    <row r="785" spans="22:22" s="1" customFormat="1">
      <c r="V785" s="4"/>
    </row>
    <row r="786" spans="22:22" s="1" customFormat="1">
      <c r="V786" s="4"/>
    </row>
    <row r="787" spans="22:22" s="1" customFormat="1">
      <c r="V787" s="4"/>
    </row>
    <row r="788" spans="22:22" s="1" customFormat="1">
      <c r="V788" s="4"/>
    </row>
    <row r="789" spans="22:22" s="1" customFormat="1">
      <c r="V789" s="4"/>
    </row>
    <row r="790" spans="22:22" s="1" customFormat="1">
      <c r="V790" s="4"/>
    </row>
    <row r="791" spans="22:22" s="1" customFormat="1">
      <c r="V791" s="4"/>
    </row>
    <row r="792" spans="22:22" s="1" customFormat="1">
      <c r="V792" s="4"/>
    </row>
    <row r="793" spans="22:22" s="1" customFormat="1">
      <c r="V793" s="4"/>
    </row>
    <row r="794" spans="22:22" s="1" customFormat="1">
      <c r="V794" s="4"/>
    </row>
    <row r="795" spans="22:22" s="1" customFormat="1">
      <c r="V795" s="4"/>
    </row>
    <row r="796" spans="22:22" s="1" customFormat="1">
      <c r="V796" s="4"/>
    </row>
    <row r="797" spans="22:22" s="1" customFormat="1">
      <c r="V797" s="4"/>
    </row>
    <row r="798" spans="22:22" s="1" customFormat="1">
      <c r="V798" s="4"/>
    </row>
    <row r="799" spans="22:22" s="1" customFormat="1">
      <c r="V799" s="4"/>
    </row>
    <row r="800" spans="22:22" s="1" customFormat="1">
      <c r="V800" s="4"/>
    </row>
    <row r="801" spans="22:22" s="1" customFormat="1">
      <c r="V801" s="4"/>
    </row>
    <row r="802" spans="22:22" s="1" customFormat="1">
      <c r="V802" s="4"/>
    </row>
    <row r="803" spans="22:22" s="1" customFormat="1">
      <c r="V803" s="4"/>
    </row>
    <row r="804" spans="22:22" s="1" customFormat="1">
      <c r="V804" s="4"/>
    </row>
    <row r="805" spans="22:22" s="1" customFormat="1">
      <c r="V805" s="4"/>
    </row>
    <row r="806" spans="22:22" s="1" customFormat="1">
      <c r="V806" s="4"/>
    </row>
    <row r="807" spans="22:22" s="1" customFormat="1">
      <c r="V807" s="4"/>
    </row>
    <row r="808" spans="22:22" s="1" customFormat="1">
      <c r="V808" s="4"/>
    </row>
    <row r="809" spans="22:22" s="1" customFormat="1">
      <c r="V809" s="4"/>
    </row>
    <row r="810" spans="22:22" s="1" customFormat="1">
      <c r="V810" s="4"/>
    </row>
    <row r="811" spans="22:22" s="1" customFormat="1">
      <c r="V811" s="4"/>
    </row>
    <row r="812" spans="22:22" s="1" customFormat="1">
      <c r="V812" s="4"/>
    </row>
    <row r="813" spans="22:22" s="1" customFormat="1">
      <c r="V813" s="4"/>
    </row>
    <row r="814" spans="22:22" s="1" customFormat="1">
      <c r="V814" s="4"/>
    </row>
    <row r="815" spans="22:22" s="1" customFormat="1">
      <c r="V815" s="4"/>
    </row>
    <row r="816" spans="22:22" s="1" customFormat="1">
      <c r="V816" s="4"/>
    </row>
    <row r="817" spans="22:22" s="1" customFormat="1">
      <c r="V817" s="4"/>
    </row>
    <row r="818" spans="22:22" s="1" customFormat="1">
      <c r="V818" s="4"/>
    </row>
    <row r="819" spans="22:22" s="1" customFormat="1">
      <c r="V819" s="4"/>
    </row>
    <row r="820" spans="22:22" s="1" customFormat="1">
      <c r="V820" s="4"/>
    </row>
    <row r="821" spans="22:22" s="1" customFormat="1">
      <c r="V821" s="4"/>
    </row>
    <row r="822" spans="22:22" s="1" customFormat="1">
      <c r="V822" s="4"/>
    </row>
    <row r="823" spans="22:22" s="1" customFormat="1">
      <c r="V823" s="4"/>
    </row>
    <row r="824" spans="22:22" s="1" customFormat="1">
      <c r="V824" s="4"/>
    </row>
    <row r="825" spans="22:22" s="1" customFormat="1">
      <c r="V825" s="4"/>
    </row>
    <row r="826" spans="22:22" s="1" customFormat="1">
      <c r="V826" s="4"/>
    </row>
    <row r="827" spans="22:22" s="1" customFormat="1">
      <c r="V827" s="4"/>
    </row>
    <row r="828" spans="22:22" s="1" customFormat="1">
      <c r="V828" s="4"/>
    </row>
    <row r="829" spans="22:22" s="1" customFormat="1">
      <c r="V829" s="4"/>
    </row>
    <row r="830" spans="22:22" s="1" customFormat="1">
      <c r="V830" s="4"/>
    </row>
    <row r="831" spans="22:22" s="1" customFormat="1">
      <c r="V831" s="4"/>
    </row>
    <row r="832" spans="22:22" s="1" customFormat="1">
      <c r="V832" s="4"/>
    </row>
    <row r="833" spans="22:22" s="1" customFormat="1">
      <c r="V833" s="4"/>
    </row>
    <row r="834" spans="22:22" s="1" customFormat="1">
      <c r="V834" s="4"/>
    </row>
    <row r="835" spans="22:22" s="1" customFormat="1">
      <c r="V835" s="4"/>
    </row>
    <row r="836" spans="22:22" s="1" customFormat="1">
      <c r="V836" s="4"/>
    </row>
    <row r="837" spans="22:22" s="1" customFormat="1">
      <c r="V837" s="4"/>
    </row>
    <row r="838" spans="22:22" s="1" customFormat="1">
      <c r="V838" s="4"/>
    </row>
    <row r="839" spans="22:22" s="1" customFormat="1">
      <c r="V839" s="4"/>
    </row>
    <row r="840" spans="22:22" s="1" customFormat="1">
      <c r="V840" s="4"/>
    </row>
    <row r="841" spans="22:22" s="1" customFormat="1">
      <c r="V841" s="4"/>
    </row>
    <row r="842" spans="22:22" s="1" customFormat="1">
      <c r="V842" s="4"/>
    </row>
    <row r="843" spans="22:22" s="1" customFormat="1">
      <c r="V843" s="4"/>
    </row>
    <row r="844" spans="22:22" s="1" customFormat="1">
      <c r="V844" s="4"/>
    </row>
    <row r="845" spans="22:22" s="1" customFormat="1"/>
    <row r="846" spans="22:22" s="1" customFormat="1"/>
    <row r="847" spans="22:22" s="1" customFormat="1"/>
    <row r="848" spans="22:22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  <row r="1833" s="1" customFormat="1"/>
    <row r="1834" s="1" customFormat="1"/>
    <row r="1835" s="1" customFormat="1"/>
    <row r="1836" s="1" customFormat="1"/>
    <row r="1837" s="1" customFormat="1"/>
    <row r="1838" s="1" customFormat="1"/>
    <row r="1839" s="1" customFormat="1"/>
    <row r="1840" s="1" customFormat="1"/>
    <row r="1841" s="1" customFormat="1"/>
    <row r="1842" s="1" customFormat="1"/>
    <row r="1843" s="1" customFormat="1"/>
    <row r="1844" s="1" customFormat="1"/>
    <row r="1845" s="1" customFormat="1"/>
    <row r="1846" s="1" customFormat="1"/>
    <row r="1847" s="1" customFormat="1"/>
    <row r="1848" s="1" customFormat="1"/>
    <row r="1849" s="1" customFormat="1"/>
    <row r="1850" s="1" customFormat="1"/>
    <row r="1851" s="1" customFormat="1"/>
    <row r="1852" s="1" customFormat="1"/>
    <row r="1853" s="1" customFormat="1"/>
    <row r="1854" s="1" customFormat="1"/>
    <row r="1855" s="1" customFormat="1"/>
    <row r="1856" s="1" customFormat="1"/>
    <row r="1857" s="1" customFormat="1"/>
    <row r="1858" s="1" customFormat="1"/>
    <row r="1859" s="1" customFormat="1"/>
    <row r="1860" s="1" customFormat="1"/>
    <row r="1861" s="1" customFormat="1"/>
    <row r="1862" s="1" customFormat="1"/>
    <row r="1863" s="1" customFormat="1"/>
    <row r="1864" s="1" customFormat="1"/>
    <row r="1865" s="1" customFormat="1"/>
    <row r="1866" s="1" customFormat="1"/>
    <row r="1867" s="1" customFormat="1"/>
    <row r="1868" s="1" customFormat="1"/>
    <row r="1869" s="1" customFormat="1"/>
    <row r="1870" s="1" customFormat="1"/>
    <row r="1871" s="1" customFormat="1"/>
    <row r="1872" s="1" customFormat="1"/>
    <row r="1873" s="1" customFormat="1"/>
    <row r="1874" s="1" customFormat="1"/>
    <row r="1875" s="1" customFormat="1"/>
    <row r="1876" s="1" customFormat="1"/>
    <row r="1877" s="1" customFormat="1"/>
    <row r="1878" s="1" customFormat="1"/>
    <row r="1879" s="1" customFormat="1"/>
    <row r="1880" s="1" customFormat="1"/>
    <row r="1881" s="1" customFormat="1"/>
    <row r="1882" s="1" customFormat="1"/>
    <row r="1883" s="1" customFormat="1"/>
    <row r="1884" s="1" customFormat="1"/>
    <row r="1885" s="1" customFormat="1"/>
    <row r="1886" s="1" customFormat="1"/>
    <row r="1887" s="1" customFormat="1"/>
    <row r="1888" s="1" customFormat="1"/>
    <row r="1889" s="1" customFormat="1"/>
    <row r="1890" s="1" customFormat="1"/>
    <row r="1891" s="1" customFormat="1"/>
    <row r="1892" s="1" customFormat="1"/>
    <row r="1893" s="1" customFormat="1"/>
    <row r="1894" s="1" customFormat="1"/>
    <row r="1895" s="1" customFormat="1"/>
    <row r="1896" s="1" customFormat="1"/>
    <row r="1897" s="1" customFormat="1"/>
    <row r="1898" s="1" customFormat="1"/>
    <row r="1899" s="1" customFormat="1"/>
    <row r="1900" s="1" customFormat="1"/>
    <row r="1901" s="1" customFormat="1"/>
    <row r="1902" s="1" customFormat="1"/>
    <row r="1903" s="1" customFormat="1"/>
    <row r="1904" s="1" customFormat="1"/>
    <row r="1905" s="1" customFormat="1"/>
    <row r="1906" s="1" customFormat="1"/>
    <row r="1907" s="1" customFormat="1"/>
    <row r="1908" s="1" customFormat="1"/>
    <row r="1909" s="1" customFormat="1"/>
    <row r="1910" s="1" customFormat="1"/>
    <row r="1911" s="1" customFormat="1"/>
    <row r="1912" s="1" customFormat="1"/>
    <row r="1913" s="1" customFormat="1"/>
    <row r="1914" s="1" customFormat="1"/>
    <row r="1915" s="1" customFormat="1"/>
    <row r="1916" s="1" customFormat="1"/>
    <row r="1917" s="1" customFormat="1"/>
    <row r="1918" s="1" customFormat="1"/>
    <row r="1919" s="1" customFormat="1"/>
    <row r="1920" s="1" customFormat="1"/>
    <row r="1921" s="1" customFormat="1"/>
    <row r="1922" s="1" customFormat="1"/>
    <row r="1923" s="1" customFormat="1"/>
    <row r="1924" s="1" customFormat="1"/>
    <row r="1925" s="1" customFormat="1"/>
    <row r="1926" s="1" customFormat="1"/>
    <row r="1927" s="1" customFormat="1"/>
    <row r="1928" s="1" customFormat="1"/>
    <row r="1929" s="1" customFormat="1"/>
    <row r="1930" s="1" customFormat="1"/>
    <row r="1931" s="1" customFormat="1"/>
    <row r="1932" s="1" customFormat="1"/>
    <row r="1933" s="1" customFormat="1"/>
    <row r="1934" s="1" customFormat="1"/>
    <row r="1935" s="1" customFormat="1"/>
    <row r="1936" s="1" customFormat="1"/>
    <row r="1937" s="1" customFormat="1"/>
    <row r="1938" s="1" customFormat="1"/>
    <row r="1939" s="1" customFormat="1"/>
    <row r="1940" s="1" customFormat="1"/>
    <row r="1941" s="1" customFormat="1"/>
    <row r="1942" s="1" customFormat="1"/>
    <row r="1943" s="1" customFormat="1"/>
    <row r="1944" s="1" customFormat="1"/>
    <row r="1945" s="1" customFormat="1"/>
    <row r="1946" s="1" customFormat="1"/>
    <row r="1947" s="1" customFormat="1"/>
    <row r="1948" s="1" customFormat="1"/>
    <row r="1949" s="1" customFormat="1"/>
    <row r="1950" s="1" customFormat="1"/>
    <row r="1951" s="1" customFormat="1"/>
    <row r="1952" s="1" customFormat="1"/>
    <row r="1953" s="1" customFormat="1"/>
    <row r="1954" s="1" customFormat="1"/>
    <row r="1955" s="1" customFormat="1"/>
    <row r="1956" s="1" customFormat="1"/>
    <row r="1957" s="1" customFormat="1"/>
    <row r="1958" s="1" customFormat="1"/>
    <row r="1959" s="1" customFormat="1"/>
    <row r="1960" s="1" customFormat="1"/>
    <row r="1961" s="1" customFormat="1"/>
    <row r="1962" s="1" customFormat="1"/>
    <row r="1963" s="1" customFormat="1"/>
    <row r="1964" s="1" customFormat="1"/>
    <row r="1965" s="1" customFormat="1"/>
    <row r="1966" s="1" customFormat="1"/>
    <row r="1967" s="1" customFormat="1"/>
    <row r="1968" s="1" customFormat="1"/>
    <row r="1969" s="1" customFormat="1"/>
    <row r="1970" s="1" customFormat="1"/>
    <row r="1971" s="1" customFormat="1"/>
    <row r="1972" s="1" customFormat="1"/>
    <row r="1973" s="1" customFormat="1"/>
    <row r="1974" s="1" customFormat="1"/>
    <row r="1975" s="1" customFormat="1"/>
    <row r="1976" s="1" customFormat="1"/>
    <row r="1977" s="1" customFormat="1"/>
    <row r="1978" s="1" customFormat="1"/>
    <row r="1979" s="1" customFormat="1"/>
    <row r="1980" s="1" customFormat="1"/>
    <row r="1981" s="1" customFormat="1"/>
    <row r="1982" s="1" customFormat="1"/>
    <row r="1983" s="1" customFormat="1"/>
    <row r="1984" s="1" customFormat="1"/>
    <row r="1985" s="1" customFormat="1"/>
    <row r="1986" s="1" customFormat="1"/>
    <row r="1987" s="1" customFormat="1"/>
    <row r="1988" s="1" customFormat="1"/>
    <row r="1989" s="1" customFormat="1"/>
    <row r="1990" s="1" customFormat="1"/>
    <row r="1991" s="1" customFormat="1"/>
    <row r="1992" s="1" customFormat="1"/>
    <row r="1993" s="1" customFormat="1"/>
    <row r="1994" s="1" customFormat="1"/>
    <row r="1995" s="1" customFormat="1"/>
    <row r="1996" s="1" customFormat="1"/>
    <row r="1997" s="1" customFormat="1"/>
    <row r="1998" s="1" customFormat="1"/>
    <row r="1999" s="1" customFormat="1"/>
    <row r="2000" s="1" customFormat="1"/>
    <row r="2001" s="1" customFormat="1"/>
    <row r="2002" s="1" customFormat="1"/>
    <row r="2003" s="1" customFormat="1"/>
    <row r="2004" s="1" customFormat="1"/>
    <row r="2005" s="1" customFormat="1"/>
    <row r="2006" s="1" customFormat="1"/>
    <row r="2007" s="1" customFormat="1"/>
    <row r="2008" s="1" customFormat="1"/>
    <row r="2009" s="1" customFormat="1"/>
    <row r="2010" s="1" customFormat="1"/>
    <row r="2011" s="1" customFormat="1"/>
    <row r="2012" s="1" customFormat="1"/>
    <row r="2013" s="1" customFormat="1"/>
    <row r="2014" s="1" customFormat="1"/>
    <row r="2015" s="1" customFormat="1"/>
    <row r="2016" s="1" customFormat="1"/>
    <row r="2017" s="1" customFormat="1"/>
    <row r="2018" s="1" customFormat="1"/>
    <row r="2019" s="1" customFormat="1"/>
    <row r="2020" s="1" customFormat="1"/>
    <row r="2021" s="1" customFormat="1"/>
    <row r="2022" s="1" customFormat="1"/>
    <row r="2023" s="1" customFormat="1"/>
    <row r="2024" s="1" customFormat="1"/>
    <row r="2025" s="1" customFormat="1"/>
    <row r="2026" s="1" customFormat="1"/>
    <row r="2027" s="1" customFormat="1"/>
    <row r="2028" s="1" customFormat="1"/>
    <row r="2029" s="1" customFormat="1"/>
    <row r="2030" s="1" customFormat="1"/>
    <row r="2031" s="1" customFormat="1"/>
    <row r="2032" s="1" customFormat="1"/>
    <row r="2033" s="1" customFormat="1"/>
    <row r="2034" s="1" customFormat="1"/>
    <row r="2035" s="1" customFormat="1"/>
    <row r="2036" s="1" customFormat="1"/>
    <row r="2037" s="1" customFormat="1"/>
    <row r="2038" s="1" customFormat="1"/>
    <row r="2039" s="1" customFormat="1"/>
    <row r="2040" s="1" customFormat="1"/>
    <row r="2041" s="1" customFormat="1"/>
    <row r="2042" s="1" customFormat="1"/>
    <row r="2043" s="1" customFormat="1"/>
    <row r="2044" s="1" customFormat="1"/>
    <row r="2045" s="1" customFormat="1"/>
    <row r="2046" s="1" customFormat="1"/>
    <row r="2047" s="1" customFormat="1"/>
    <row r="2048" s="1" customFormat="1"/>
    <row r="2049" s="1" customFormat="1"/>
    <row r="2050" s="1" customFormat="1"/>
    <row r="2051" s="1" customFormat="1"/>
    <row r="2052" s="1" customFormat="1"/>
    <row r="2053" s="1" customFormat="1"/>
    <row r="2054" s="1" customFormat="1"/>
    <row r="2055" s="1" customFormat="1"/>
    <row r="2056" s="1" customFormat="1"/>
    <row r="2057" s="1" customFormat="1"/>
    <row r="2058" s="1" customFormat="1"/>
    <row r="2059" s="1" customFormat="1"/>
    <row r="2060" s="1" customFormat="1"/>
    <row r="2061" s="1" customFormat="1"/>
    <row r="2062" s="1" customFormat="1"/>
    <row r="2063" s="1" customFormat="1"/>
    <row r="2064" s="1" customFormat="1"/>
    <row r="2065" s="1" customFormat="1"/>
    <row r="2066" s="1" customFormat="1"/>
    <row r="2067" s="1" customFormat="1"/>
    <row r="2068" s="1" customFormat="1"/>
    <row r="2069" s="1" customFormat="1"/>
    <row r="2070" s="1" customFormat="1"/>
    <row r="2071" s="1" customFormat="1"/>
    <row r="2072" s="1" customFormat="1"/>
    <row r="2073" s="1" customFormat="1"/>
    <row r="2074" s="1" customFormat="1"/>
    <row r="2075" s="1" customFormat="1"/>
    <row r="2076" s="1" customFormat="1"/>
    <row r="2077" s="1" customFormat="1"/>
    <row r="2078" s="1" customFormat="1"/>
    <row r="2079" s="1" customFormat="1"/>
    <row r="2080" s="1" customFormat="1"/>
    <row r="2081" s="1" customFormat="1"/>
    <row r="2082" s="1" customFormat="1"/>
    <row r="2083" s="1" customFormat="1"/>
    <row r="2084" s="1" customFormat="1"/>
    <row r="2085" s="1" customFormat="1"/>
    <row r="2086" s="1" customFormat="1"/>
    <row r="2087" s="1" customFormat="1"/>
    <row r="2088" s="1" customFormat="1"/>
    <row r="2089" s="1" customFormat="1"/>
    <row r="2090" s="1" customFormat="1"/>
    <row r="2091" s="1" customFormat="1"/>
    <row r="2092" s="1" customFormat="1"/>
    <row r="2093" s="1" customFormat="1"/>
    <row r="2094" s="1" customFormat="1"/>
    <row r="2095" s="1" customFormat="1"/>
    <row r="2096" s="1" customFormat="1"/>
    <row r="2097" s="1" customFormat="1"/>
    <row r="2098" s="1" customFormat="1"/>
    <row r="2099" s="1" customFormat="1"/>
    <row r="2100" s="1" customFormat="1"/>
    <row r="2101" s="1" customFormat="1"/>
    <row r="2102" s="1" customFormat="1"/>
    <row r="2103" s="1" customFormat="1"/>
    <row r="2104" s="1" customFormat="1"/>
    <row r="2105" s="1" customFormat="1"/>
    <row r="2106" s="1" customFormat="1"/>
    <row r="2107" s="1" customFormat="1"/>
    <row r="2108" s="1" customFormat="1"/>
    <row r="2109" s="1" customFormat="1"/>
    <row r="2110" s="1" customFormat="1"/>
    <row r="2111" s="1" customFormat="1"/>
    <row r="2112" s="1" customFormat="1"/>
    <row r="2113" s="1" customFormat="1"/>
    <row r="2114" s="1" customFormat="1"/>
    <row r="2115" s="1" customFormat="1"/>
    <row r="2116" s="1" customFormat="1"/>
    <row r="2117" s="1" customFormat="1"/>
    <row r="2118" s="1" customFormat="1"/>
    <row r="2119" s="1" customFormat="1"/>
    <row r="2120" s="1" customFormat="1"/>
    <row r="2121" s="1" customFormat="1"/>
    <row r="2122" s="1" customFormat="1"/>
    <row r="2123" s="1" customFormat="1"/>
    <row r="2124" s="1" customFormat="1"/>
    <row r="2125" s="1" customFormat="1"/>
    <row r="2126" s="1" customFormat="1"/>
    <row r="2127" s="1" customFormat="1"/>
    <row r="2128" s="1" customFormat="1"/>
    <row r="2129" s="1" customFormat="1"/>
    <row r="2130" s="1" customFormat="1"/>
    <row r="2131" s="1" customFormat="1"/>
    <row r="2132" s="1" customFormat="1"/>
    <row r="2133" s="1" customFormat="1"/>
    <row r="2134" s="1" customFormat="1"/>
    <row r="2135" s="1" customFormat="1"/>
    <row r="2136" s="1" customFormat="1"/>
    <row r="2137" s="1" customFormat="1"/>
    <row r="2138" s="1" customFormat="1"/>
    <row r="2139" s="1" customFormat="1"/>
    <row r="2140" s="1" customFormat="1"/>
    <row r="2141" s="1" customFormat="1"/>
    <row r="2142" s="1" customFormat="1"/>
    <row r="2143" s="1" customFormat="1"/>
    <row r="2144" s="1" customFormat="1"/>
    <row r="2145" s="1" customFormat="1"/>
    <row r="2146" s="1" customFormat="1"/>
    <row r="2147" s="1" customFormat="1"/>
    <row r="2148" s="1" customFormat="1"/>
    <row r="2149" s="1" customFormat="1"/>
    <row r="2150" s="1" customFormat="1"/>
    <row r="2151" s="1" customFormat="1"/>
    <row r="2152" s="1" customFormat="1"/>
    <row r="2153" s="1" customFormat="1"/>
    <row r="2154" s="1" customFormat="1"/>
    <row r="2155" s="1" customFormat="1"/>
    <row r="2156" s="1" customFormat="1"/>
    <row r="2157" s="1" customFormat="1"/>
    <row r="2158" s="1" customFormat="1"/>
    <row r="2159" s="1" customFormat="1"/>
    <row r="2160" s="1" customFormat="1"/>
    <row r="2161" s="1" customFormat="1"/>
    <row r="2162" s="1" customFormat="1"/>
    <row r="2163" s="1" customFormat="1"/>
    <row r="2164" s="1" customFormat="1"/>
    <row r="2165" s="1" customFormat="1"/>
    <row r="2166" s="1" customFormat="1"/>
    <row r="2167" s="1" customFormat="1"/>
    <row r="2168" s="1" customFormat="1"/>
    <row r="2169" s="1" customFormat="1"/>
    <row r="2170" s="1" customFormat="1"/>
    <row r="2171" s="1" customFormat="1"/>
    <row r="2172" s="1" customFormat="1"/>
    <row r="2173" s="1" customFormat="1"/>
    <row r="2174" s="1" customFormat="1"/>
    <row r="2175" s="1" customFormat="1"/>
    <row r="2176" s="1" customFormat="1"/>
    <row r="2177" s="1" customFormat="1"/>
    <row r="2178" s="1" customFormat="1"/>
    <row r="2179" s="1" customFormat="1"/>
    <row r="2180" s="1" customFormat="1"/>
    <row r="2181" s="1" customFormat="1"/>
    <row r="2182" s="1" customFormat="1"/>
    <row r="2183" s="1" customFormat="1"/>
    <row r="2184" s="1" customFormat="1"/>
    <row r="2185" s="1" customFormat="1"/>
    <row r="2186" s="1" customFormat="1"/>
    <row r="2187" s="1" customFormat="1"/>
    <row r="2188" s="1" customFormat="1"/>
    <row r="2189" s="1" customFormat="1"/>
    <row r="2190" s="1" customFormat="1"/>
    <row r="2191" s="1" customFormat="1"/>
    <row r="2192" s="1" customFormat="1"/>
    <row r="2193" s="1" customFormat="1"/>
    <row r="2194" s="1" customFormat="1"/>
    <row r="2195" s="1" customFormat="1"/>
    <row r="2196" s="1" customFormat="1"/>
    <row r="2197" s="1" customFormat="1"/>
    <row r="2198" s="1" customFormat="1"/>
    <row r="2199" s="1" customFormat="1"/>
    <row r="2200" s="1" customFormat="1"/>
    <row r="2201" s="1" customFormat="1"/>
    <row r="2202" s="1" customFormat="1"/>
    <row r="2203" s="1" customFormat="1"/>
    <row r="2204" s="1" customFormat="1"/>
    <row r="2205" s="1" customFormat="1"/>
    <row r="2206" s="1" customFormat="1"/>
    <row r="2207" s="1" customFormat="1"/>
    <row r="2208" s="1" customFormat="1"/>
    <row r="2209" s="1" customFormat="1"/>
    <row r="2210" s="1" customFormat="1"/>
    <row r="2211" s="1" customFormat="1"/>
    <row r="2212" s="1" customFormat="1"/>
    <row r="2213" s="1" customFormat="1"/>
    <row r="2214" s="1" customFormat="1"/>
    <row r="2215" s="1" customFormat="1"/>
    <row r="2216" s="1" customFormat="1"/>
    <row r="2217" s="1" customFormat="1"/>
    <row r="2218" s="1" customFormat="1"/>
    <row r="2219" s="1" customFormat="1"/>
    <row r="2220" s="1" customFormat="1"/>
    <row r="2221" s="1" customFormat="1"/>
    <row r="2222" s="1" customFormat="1"/>
    <row r="2223" s="1" customFormat="1"/>
    <row r="2224" s="1" customFormat="1"/>
    <row r="2225" s="1" customFormat="1"/>
    <row r="2226" s="1" customFormat="1"/>
    <row r="2227" s="1" customFormat="1"/>
    <row r="2228" s="1" customFormat="1"/>
    <row r="2229" s="1" customFormat="1"/>
    <row r="2230" s="1" customFormat="1"/>
    <row r="2231" s="1" customFormat="1"/>
    <row r="2232" s="1" customFormat="1"/>
    <row r="2233" s="1" customFormat="1"/>
    <row r="2234" s="1" customFormat="1"/>
    <row r="2235" s="1" customFormat="1"/>
    <row r="2236" s="1" customFormat="1"/>
    <row r="2237" s="1" customFormat="1"/>
    <row r="2238" s="1" customFormat="1"/>
    <row r="2239" s="1" customFormat="1"/>
    <row r="2240" s="1" customFormat="1"/>
    <row r="2241" s="1" customFormat="1"/>
    <row r="2242" s="1" customFormat="1"/>
    <row r="2243" s="1" customFormat="1"/>
    <row r="2244" s="1" customFormat="1"/>
    <row r="2245" s="1" customFormat="1"/>
    <row r="2246" s="1" customFormat="1"/>
    <row r="2247" s="1" customFormat="1"/>
    <row r="2248" s="1" customFormat="1"/>
    <row r="2249" s="1" customFormat="1"/>
    <row r="2250" s="1" customFormat="1"/>
    <row r="2251" s="1" customFormat="1"/>
    <row r="2252" s="1" customFormat="1"/>
    <row r="2253" s="1" customFormat="1"/>
    <row r="2254" s="1" customFormat="1"/>
    <row r="2255" s="1" customFormat="1"/>
    <row r="2256" s="1" customFormat="1"/>
    <row r="2257" s="1" customFormat="1"/>
    <row r="2258" s="1" customFormat="1"/>
    <row r="2259" s="1" customFormat="1"/>
    <row r="2260" s="1" customFormat="1"/>
    <row r="2261" s="1" customFormat="1"/>
    <row r="2262" s="1" customFormat="1"/>
    <row r="2263" s="1" customFormat="1"/>
    <row r="2264" s="1" customFormat="1"/>
    <row r="2265" s="1" customFormat="1"/>
    <row r="2266" s="1" customFormat="1"/>
    <row r="2267" s="1" customFormat="1"/>
    <row r="2268" s="1" customFormat="1"/>
    <row r="2269" s="1" customFormat="1"/>
    <row r="2270" s="1" customFormat="1"/>
    <row r="2271" s="1" customFormat="1"/>
    <row r="2272" s="1" customFormat="1"/>
    <row r="2273" s="1" customFormat="1"/>
    <row r="2274" s="1" customFormat="1"/>
    <row r="2275" s="1" customFormat="1"/>
    <row r="2276" s="1" customFormat="1"/>
    <row r="2277" s="1" customFormat="1"/>
    <row r="2278" s="1" customFormat="1"/>
    <row r="2279" s="1" customFormat="1"/>
    <row r="2280" s="1" customFormat="1"/>
    <row r="2281" s="1" customFormat="1"/>
    <row r="2282" s="1" customFormat="1"/>
    <row r="2283" s="1" customFormat="1"/>
    <row r="2284" s="1" customFormat="1"/>
    <row r="2285" s="1" customFormat="1"/>
    <row r="2286" s="1" customFormat="1"/>
    <row r="2287" s="1" customFormat="1"/>
    <row r="2288" s="1" customFormat="1"/>
    <row r="2289" s="1" customFormat="1"/>
    <row r="2290" s="1" customFormat="1"/>
    <row r="2291" s="1" customFormat="1"/>
    <row r="2292" s="1" customFormat="1"/>
    <row r="2293" s="1" customFormat="1"/>
    <row r="2294" s="1" customFormat="1"/>
    <row r="2295" s="1" customFormat="1"/>
    <row r="2296" s="1" customFormat="1"/>
    <row r="2297" s="1" customFormat="1"/>
    <row r="2298" s="1" customFormat="1"/>
    <row r="2299" s="1" customFormat="1"/>
    <row r="2300" s="1" customFormat="1"/>
    <row r="2301" s="1" customFormat="1"/>
    <row r="2302" s="1" customFormat="1"/>
    <row r="2303" s="1" customFormat="1"/>
    <row r="2304" s="1" customFormat="1"/>
    <row r="2305" s="1" customFormat="1"/>
    <row r="2306" s="1" customFormat="1"/>
    <row r="2307" s="1" customFormat="1"/>
    <row r="2308" s="1" customFormat="1"/>
    <row r="2309" s="1" customFormat="1"/>
    <row r="2310" s="1" customFormat="1"/>
    <row r="2311" s="1" customFormat="1"/>
    <row r="2312" s="1" customFormat="1"/>
    <row r="2313" s="1" customFormat="1"/>
    <row r="2314" s="1" customFormat="1"/>
    <row r="2315" s="1" customFormat="1"/>
    <row r="2316" s="1" customFormat="1"/>
    <row r="2317" s="1" customFormat="1"/>
    <row r="2318" s="1" customFormat="1"/>
    <row r="2319" s="1" customFormat="1"/>
    <row r="2320" s="1" customFormat="1"/>
    <row r="2321" s="1" customFormat="1"/>
    <row r="2322" s="1" customFormat="1"/>
    <row r="2323" s="1" customFormat="1"/>
    <row r="2324" s="1" customFormat="1"/>
    <row r="2325" s="1" customFormat="1"/>
    <row r="2326" s="1" customFormat="1"/>
    <row r="2327" s="1" customFormat="1"/>
    <row r="2328" s="1" customFormat="1"/>
    <row r="2329" s="1" customFormat="1"/>
    <row r="2330" s="1" customFormat="1"/>
    <row r="2331" s="1" customFormat="1"/>
    <row r="2332" s="1" customFormat="1"/>
    <row r="2333" s="1" customFormat="1"/>
    <row r="2334" s="1" customFormat="1"/>
    <row r="2335" s="1" customFormat="1"/>
    <row r="2336" s="1" customFormat="1"/>
    <row r="2337" s="1" customFormat="1"/>
    <row r="2338" s="1" customFormat="1"/>
    <row r="2339" s="1" customFormat="1"/>
    <row r="2340" s="1" customFormat="1"/>
    <row r="2341" s="1" customFormat="1"/>
    <row r="2342" s="1" customFormat="1"/>
    <row r="2343" s="1" customFormat="1"/>
    <row r="2344" s="1" customFormat="1"/>
    <row r="2345" s="1" customFormat="1"/>
    <row r="2346" s="1" customFormat="1"/>
    <row r="2347" s="1" customFormat="1"/>
    <row r="2348" s="1" customFormat="1"/>
    <row r="2349" s="1" customFormat="1"/>
    <row r="2350" s="1" customFormat="1"/>
    <row r="2351" s="1" customFormat="1"/>
    <row r="2352" s="1" customFormat="1"/>
    <row r="2353" s="1" customFormat="1"/>
    <row r="2354" s="1" customFormat="1"/>
    <row r="2355" s="1" customFormat="1"/>
    <row r="2356" s="1" customFormat="1"/>
    <row r="2357" s="1" customFormat="1"/>
    <row r="2358" s="1" customFormat="1"/>
    <row r="2359" s="1" customFormat="1"/>
    <row r="2360" s="1" customFormat="1"/>
    <row r="2361" s="1" customFormat="1"/>
    <row r="2362" s="1" customFormat="1"/>
    <row r="2363" s="1" customFormat="1"/>
    <row r="2364" s="1" customFormat="1"/>
    <row r="2365" s="1" customFormat="1"/>
    <row r="2366" s="1" customFormat="1"/>
    <row r="2367" s="1" customFormat="1"/>
    <row r="2368" s="1" customFormat="1"/>
    <row r="2369" s="1" customFormat="1"/>
    <row r="2370" s="1" customFormat="1"/>
    <row r="2371" s="1" customFormat="1"/>
    <row r="2372" s="1" customFormat="1"/>
    <row r="2373" s="1" customFormat="1"/>
    <row r="2374" s="1" customFormat="1"/>
    <row r="2375" s="1" customFormat="1"/>
    <row r="2376" s="1" customFormat="1"/>
    <row r="2377" s="1" customFormat="1"/>
    <row r="2378" s="1" customFormat="1"/>
    <row r="2379" s="1" customFormat="1"/>
    <row r="2380" s="1" customFormat="1"/>
    <row r="2381" s="1" customFormat="1"/>
    <row r="2382" s="1" customFormat="1"/>
    <row r="2383" s="1" customFormat="1"/>
    <row r="2384" s="1" customFormat="1"/>
    <row r="2385" s="1" customFormat="1"/>
    <row r="2386" s="1" customFormat="1"/>
    <row r="2387" s="1" customFormat="1"/>
    <row r="2388" s="1" customFormat="1"/>
    <row r="2389" s="1" customFormat="1"/>
    <row r="2390" s="1" customFormat="1"/>
    <row r="2391" s="1" customFormat="1"/>
    <row r="2392" s="1" customFormat="1"/>
    <row r="2393" s="1" customFormat="1"/>
    <row r="2394" s="1" customFormat="1"/>
    <row r="2395" s="1" customFormat="1"/>
    <row r="2396" s="1" customFormat="1"/>
    <row r="2397" s="1" customFormat="1"/>
    <row r="2398" s="1" customFormat="1"/>
    <row r="2399" s="1" customFormat="1"/>
    <row r="2400" s="1" customFormat="1"/>
    <row r="2401" s="1" customFormat="1"/>
    <row r="2402" s="1" customFormat="1"/>
    <row r="2403" s="1" customFormat="1"/>
    <row r="2404" s="1" customFormat="1"/>
    <row r="2405" s="1" customFormat="1"/>
    <row r="2406" s="1" customFormat="1"/>
    <row r="2407" s="1" customFormat="1"/>
    <row r="2408" s="1" customFormat="1"/>
    <row r="2409" s="1" customFormat="1"/>
    <row r="2410" s="1" customFormat="1"/>
    <row r="2411" s="1" customFormat="1"/>
    <row r="2412" s="1" customFormat="1"/>
    <row r="2413" s="1" customFormat="1"/>
    <row r="2414" s="1" customFormat="1"/>
    <row r="2415" s="1" customFormat="1"/>
    <row r="2416" s="1" customFormat="1"/>
    <row r="2417" s="1" customFormat="1"/>
    <row r="2418" s="1" customFormat="1"/>
    <row r="2419" s="1" customFormat="1"/>
    <row r="2420" s="1" customFormat="1"/>
    <row r="2421" s="1" customFormat="1"/>
    <row r="2422" s="1" customFormat="1"/>
    <row r="2423" s="1" customFormat="1"/>
    <row r="2424" s="1" customFormat="1"/>
    <row r="2425" s="1" customFormat="1"/>
    <row r="2426" s="1" customFormat="1"/>
    <row r="2427" s="1" customFormat="1"/>
    <row r="2428" s="1" customFormat="1"/>
    <row r="2429" s="1" customFormat="1"/>
    <row r="2430" s="1" customFormat="1"/>
    <row r="2431" s="1" customFormat="1"/>
    <row r="2432" s="1" customFormat="1"/>
    <row r="2433" s="1" customFormat="1"/>
    <row r="2434" s="1" customFormat="1"/>
    <row r="2435" s="1" customFormat="1"/>
    <row r="2436" s="1" customFormat="1"/>
    <row r="2437" s="1" customFormat="1"/>
    <row r="2438" s="1" customFormat="1"/>
    <row r="2439" s="1" customFormat="1"/>
    <row r="2440" s="1" customFormat="1"/>
    <row r="2441" s="1" customFormat="1"/>
    <row r="2442" s="1" customFormat="1"/>
    <row r="2443" s="1" customFormat="1"/>
    <row r="2444" s="1" customFormat="1"/>
    <row r="2445" s="1" customFormat="1"/>
    <row r="2446" s="1" customFormat="1"/>
    <row r="2447" s="1" customFormat="1"/>
    <row r="2448" s="1" customFormat="1"/>
    <row r="2449" s="1" customFormat="1"/>
    <row r="2450" s="1" customFormat="1"/>
    <row r="2451" s="1" customFormat="1"/>
    <row r="2452" s="1" customFormat="1"/>
    <row r="2453" s="1" customFormat="1"/>
    <row r="2454" s="1" customFormat="1"/>
    <row r="2455" s="1" customFormat="1"/>
    <row r="2456" s="1" customFormat="1"/>
    <row r="2457" s="1" customFormat="1"/>
    <row r="2458" s="1" customFormat="1"/>
    <row r="2459" s="1" customFormat="1"/>
    <row r="2460" s="1" customFormat="1"/>
    <row r="2461" s="1" customFormat="1"/>
    <row r="2462" s="1" customFormat="1"/>
    <row r="2463" s="1" customFormat="1"/>
    <row r="2464" s="1" customFormat="1"/>
    <row r="2465" s="1" customFormat="1"/>
    <row r="2466" s="1" customFormat="1"/>
    <row r="2467" s="1" customFormat="1"/>
    <row r="2468" s="1" customFormat="1"/>
    <row r="2469" s="1" customFormat="1"/>
    <row r="2470" s="1" customFormat="1"/>
    <row r="2471" s="1" customFormat="1"/>
    <row r="2472" s="1" customFormat="1"/>
    <row r="2473" s="1" customFormat="1"/>
    <row r="2474" s="1" customFormat="1"/>
    <row r="2475" s="1" customFormat="1"/>
    <row r="2476" s="1" customFormat="1"/>
    <row r="2477" s="1" customFormat="1"/>
    <row r="2478" s="1" customFormat="1"/>
    <row r="2479" s="1" customFormat="1"/>
    <row r="2480" s="1" customFormat="1"/>
    <row r="2481" s="1" customFormat="1"/>
    <row r="2482" s="1" customFormat="1"/>
    <row r="2483" s="1" customFormat="1"/>
    <row r="2484" s="1" customFormat="1"/>
    <row r="2485" s="1" customFormat="1"/>
    <row r="2486" s="1" customFormat="1"/>
    <row r="2487" s="1" customFormat="1"/>
    <row r="2488" s="1" customFormat="1"/>
    <row r="2489" s="1" customFormat="1"/>
    <row r="2490" s="1" customFormat="1"/>
    <row r="2491" s="1" customFormat="1"/>
    <row r="2492" s="1" customFormat="1"/>
    <row r="2493" s="1" customFormat="1"/>
    <row r="2494" s="1" customFormat="1"/>
    <row r="2495" s="1" customFormat="1"/>
    <row r="2496" s="1" customFormat="1"/>
    <row r="2497" s="1" customFormat="1"/>
    <row r="2498" s="1" customFormat="1"/>
    <row r="2499" s="1" customFormat="1"/>
    <row r="2500" s="1" customFormat="1"/>
    <row r="2501" s="1" customFormat="1"/>
    <row r="2502" s="1" customFormat="1"/>
    <row r="2503" s="1" customFormat="1"/>
    <row r="2504" s="1" customFormat="1"/>
    <row r="2505" s="1" customFormat="1"/>
    <row r="2506" s="1" customFormat="1"/>
    <row r="2507" s="1" customFormat="1"/>
    <row r="2508" s="1" customFormat="1"/>
    <row r="2509" s="1" customFormat="1"/>
    <row r="2510" s="1" customFormat="1"/>
    <row r="2511" s="1" customFormat="1"/>
    <row r="2512" s="1" customFormat="1"/>
    <row r="2513" s="1" customFormat="1"/>
    <row r="2514" s="1" customFormat="1"/>
    <row r="2515" s="1" customFormat="1"/>
    <row r="2516" s="1" customFormat="1"/>
    <row r="2517" s="1" customFormat="1"/>
    <row r="2518" s="1" customFormat="1"/>
    <row r="2519" s="1" customFormat="1"/>
    <row r="2520" s="1" customFormat="1"/>
    <row r="2521" s="1" customFormat="1"/>
    <row r="2522" s="1" customFormat="1"/>
    <row r="2523" s="1" customFormat="1"/>
    <row r="2524" s="1" customFormat="1"/>
    <row r="2525" s="1" customFormat="1"/>
    <row r="2526" s="1" customFormat="1"/>
    <row r="2527" s="1" customFormat="1"/>
    <row r="2528" s="1" customFormat="1"/>
    <row r="2529" s="1" customFormat="1"/>
    <row r="2530" s="1" customFormat="1"/>
    <row r="2531" s="1" customFormat="1"/>
    <row r="2532" s="1" customFormat="1"/>
    <row r="2533" s="1" customFormat="1"/>
    <row r="2534" s="1" customFormat="1"/>
    <row r="2535" s="1" customFormat="1"/>
    <row r="2536" s="1" customFormat="1"/>
    <row r="2537" s="1" customFormat="1"/>
    <row r="2538" s="1" customFormat="1"/>
    <row r="2539" s="1" customFormat="1"/>
    <row r="2540" s="1" customFormat="1"/>
    <row r="2541" s="1" customFormat="1"/>
    <row r="2542" s="1" customFormat="1"/>
    <row r="2543" s="1" customFormat="1"/>
    <row r="2544" s="1" customFormat="1"/>
    <row r="2545" s="1" customFormat="1"/>
    <row r="2546" s="1" customFormat="1"/>
    <row r="2547" s="1" customFormat="1"/>
    <row r="2548" s="1" customFormat="1"/>
    <row r="2549" s="1" customFormat="1"/>
    <row r="2550" s="1" customFormat="1"/>
    <row r="2551" s="1" customFormat="1"/>
    <row r="2552" s="1" customFormat="1"/>
    <row r="2553" s="1" customFormat="1"/>
    <row r="2554" s="1" customFormat="1"/>
    <row r="2555" s="1" customFormat="1"/>
    <row r="2556" s="1" customFormat="1"/>
    <row r="2557" s="1" customFormat="1"/>
    <row r="2558" s="1" customFormat="1"/>
    <row r="2559" s="1" customFormat="1"/>
    <row r="2560" s="1" customFormat="1"/>
    <row r="2561" s="1" customFormat="1"/>
    <row r="2562" s="1" customFormat="1"/>
    <row r="2563" s="1" customFormat="1"/>
    <row r="2564" s="1" customFormat="1"/>
    <row r="2565" s="1" customFormat="1"/>
    <row r="2566" s="1" customFormat="1"/>
    <row r="2567" s="1" customFormat="1"/>
    <row r="2568" s="1" customFormat="1"/>
    <row r="2569" s="1" customFormat="1"/>
    <row r="2570" s="1" customFormat="1"/>
    <row r="2571" s="1" customFormat="1"/>
    <row r="2572" s="1" customFormat="1"/>
    <row r="2573" s="1" customFormat="1"/>
    <row r="2574" s="1" customFormat="1"/>
    <row r="2575" s="1" customFormat="1"/>
    <row r="2576" s="1" customFormat="1"/>
    <row r="2577" s="1" customFormat="1"/>
    <row r="2578" s="1" customFormat="1"/>
    <row r="2579" s="1" customFormat="1"/>
    <row r="2580" s="1" customFormat="1"/>
    <row r="2581" s="1" customFormat="1"/>
    <row r="2582" s="1" customFormat="1"/>
    <row r="2583" s="1" customFormat="1"/>
    <row r="2584" s="1" customFormat="1"/>
    <row r="2585" s="1" customFormat="1"/>
    <row r="2586" s="1" customFormat="1"/>
    <row r="2587" s="1" customFormat="1"/>
    <row r="2588" s="1" customFormat="1"/>
    <row r="2589" s="1" customFormat="1"/>
    <row r="2590" s="1" customFormat="1"/>
    <row r="2591" s="1" customFormat="1"/>
    <row r="2592" s="1" customFormat="1"/>
    <row r="2593" s="1" customFormat="1"/>
    <row r="2594" s="1" customFormat="1"/>
    <row r="2595" s="1" customFormat="1"/>
    <row r="2596" s="1" customFormat="1"/>
    <row r="2597" s="1" customFormat="1"/>
    <row r="2598" s="1" customFormat="1"/>
    <row r="2599" s="1" customFormat="1"/>
    <row r="2600" s="1" customFormat="1"/>
    <row r="2601" s="1" customFormat="1"/>
    <row r="2602" s="1" customFormat="1"/>
    <row r="2603" s="1" customFormat="1"/>
    <row r="2604" s="1" customFormat="1"/>
    <row r="2605" s="1" customFormat="1"/>
    <row r="2606" s="1" customFormat="1"/>
    <row r="2607" s="1" customFormat="1"/>
    <row r="2608" s="1" customFormat="1"/>
    <row r="2609" s="1" customFormat="1"/>
    <row r="2610" s="1" customFormat="1"/>
    <row r="2611" s="1" customFormat="1"/>
    <row r="2612" s="1" customFormat="1"/>
    <row r="2613" s="1" customFormat="1"/>
    <row r="2614" s="1" customFormat="1"/>
    <row r="2615" s="1" customFormat="1"/>
    <row r="2616" s="1" customFormat="1"/>
    <row r="2617" s="1" customFormat="1"/>
    <row r="2618" s="1" customFormat="1"/>
    <row r="2619" s="1" customFormat="1"/>
    <row r="2620" s="1" customFormat="1"/>
    <row r="2621" s="1" customFormat="1"/>
    <row r="2622" s="1" customFormat="1"/>
    <row r="2623" s="1" customFormat="1"/>
    <row r="2624" s="1" customFormat="1"/>
    <row r="2625" s="1" customFormat="1"/>
    <row r="2626" s="1" customFormat="1"/>
    <row r="2627" s="1" customFormat="1"/>
    <row r="2628" s="1" customFormat="1"/>
    <row r="2629" s="1" customFormat="1"/>
    <row r="2630" s="1" customFormat="1"/>
    <row r="2631" s="1" customFormat="1"/>
    <row r="2632" s="1" customFormat="1"/>
    <row r="2633" s="1" customFormat="1"/>
    <row r="2634" s="1" customFormat="1"/>
    <row r="2635" s="1" customFormat="1"/>
    <row r="2636" s="1" customFormat="1"/>
    <row r="2637" s="1" customFormat="1"/>
    <row r="2638" s="1" customFormat="1"/>
    <row r="2639" s="1" customFormat="1"/>
    <row r="2640" s="1" customFormat="1"/>
    <row r="2641" s="1" customFormat="1"/>
    <row r="2642" s="1" customFormat="1"/>
    <row r="2643" s="1" customFormat="1"/>
    <row r="2644" s="1" customFormat="1"/>
    <row r="2645" s="1" customFormat="1"/>
    <row r="2646" s="1" customFormat="1"/>
    <row r="2647" s="1" customFormat="1"/>
    <row r="2648" s="1" customFormat="1"/>
    <row r="2649" s="1" customFormat="1"/>
    <row r="2650" s="1" customFormat="1"/>
    <row r="2651" s="1" customFormat="1"/>
    <row r="2652" s="1" customFormat="1"/>
    <row r="2653" s="1" customFormat="1"/>
    <row r="2654" s="1" customFormat="1"/>
    <row r="2655" s="1" customFormat="1"/>
    <row r="2656" s="1" customFormat="1"/>
    <row r="2657" s="1" customFormat="1"/>
    <row r="2658" s="1" customFormat="1"/>
    <row r="2659" s="1" customFormat="1"/>
    <row r="2660" s="1" customFormat="1"/>
    <row r="2661" s="1" customFormat="1"/>
    <row r="2662" s="1" customFormat="1"/>
    <row r="2663" s="1" customFormat="1"/>
    <row r="2664" s="1" customFormat="1"/>
    <row r="2665" s="1" customFormat="1"/>
    <row r="2666" s="1" customFormat="1"/>
    <row r="2667" s="1" customFormat="1"/>
    <row r="2668" s="1" customFormat="1"/>
    <row r="2669" s="1" customFormat="1"/>
    <row r="2670" s="1" customFormat="1"/>
    <row r="2671" s="1" customFormat="1"/>
    <row r="2672" s="1" customFormat="1"/>
    <row r="2673" s="1" customFormat="1"/>
    <row r="2674" s="1" customFormat="1"/>
    <row r="2675" s="1" customFormat="1"/>
    <row r="2676" s="1" customFormat="1"/>
    <row r="2677" s="1" customFormat="1"/>
    <row r="2678" s="1" customFormat="1"/>
    <row r="2679" s="1" customFormat="1"/>
    <row r="2680" s="1" customFormat="1"/>
    <row r="2681" s="1" customFormat="1"/>
    <row r="2682" s="1" customFormat="1"/>
    <row r="2683" s="1" customFormat="1"/>
    <row r="2684" s="1" customFormat="1"/>
    <row r="2685" s="1" customFormat="1"/>
    <row r="2686" s="1" customFormat="1"/>
    <row r="2687" s="1" customFormat="1"/>
    <row r="2688" s="1" customFormat="1"/>
    <row r="2689" s="1" customFormat="1"/>
    <row r="2690" s="1" customFormat="1"/>
    <row r="2691" s="1" customFormat="1"/>
    <row r="2692" s="1" customFormat="1"/>
    <row r="2693" s="1" customFormat="1"/>
    <row r="2694" s="1" customFormat="1"/>
    <row r="2695" s="1" customFormat="1"/>
    <row r="2696" s="1" customFormat="1"/>
    <row r="2697" s="1" customFormat="1"/>
    <row r="2698" s="1" customFormat="1"/>
    <row r="2699" s="1" customFormat="1"/>
    <row r="2700" s="1" customFormat="1"/>
    <row r="2701" s="1" customFormat="1"/>
    <row r="2702" s="1" customFormat="1"/>
    <row r="2703" s="1" customFormat="1"/>
    <row r="2704" s="1" customFormat="1"/>
    <row r="2705" s="1" customFormat="1"/>
    <row r="2706" s="1" customFormat="1"/>
    <row r="2707" s="1" customFormat="1"/>
    <row r="2708" s="1" customFormat="1"/>
    <row r="2709" s="1" customFormat="1"/>
    <row r="2710" s="1" customFormat="1"/>
    <row r="2711" s="1" customFormat="1"/>
    <row r="2712" s="1" customFormat="1"/>
    <row r="2713" s="1" customFormat="1"/>
    <row r="2714" s="1" customFormat="1"/>
    <row r="2715" s="1" customFormat="1"/>
    <row r="2716" s="1" customFormat="1"/>
    <row r="2717" s="1" customFormat="1"/>
    <row r="2718" s="1" customFormat="1"/>
    <row r="2719" s="1" customFormat="1"/>
    <row r="2720" s="1" customFormat="1"/>
    <row r="2721" s="1" customFormat="1"/>
    <row r="2722" s="1" customFormat="1"/>
    <row r="2723" s="1" customFormat="1"/>
    <row r="2724" s="1" customFormat="1"/>
    <row r="2725" s="1" customFormat="1"/>
    <row r="2726" s="1" customFormat="1"/>
    <row r="2727" s="1" customFormat="1"/>
    <row r="2728" s="1" customFormat="1"/>
    <row r="2729" s="1" customFormat="1"/>
    <row r="2730" s="1" customFormat="1"/>
    <row r="2731" s="1" customFormat="1"/>
    <row r="2732" s="1" customFormat="1"/>
    <row r="2733" s="1" customFormat="1"/>
    <row r="2734" s="1" customFormat="1"/>
    <row r="2735" s="1" customFormat="1"/>
    <row r="2736" s="1" customFormat="1"/>
    <row r="2737" s="1" customFormat="1"/>
    <row r="2738" s="1" customFormat="1"/>
    <row r="2739" s="1" customFormat="1"/>
    <row r="2740" s="1" customFormat="1"/>
    <row r="2741" s="1" customFormat="1"/>
    <row r="2742" s="1" customFormat="1"/>
    <row r="2743" s="1" customFormat="1"/>
    <row r="2744" s="1" customFormat="1"/>
    <row r="2745" s="1" customFormat="1"/>
    <row r="2746" s="1" customFormat="1"/>
    <row r="2747" s="1" customFormat="1"/>
    <row r="2748" s="1" customFormat="1"/>
    <row r="2749" s="1" customFormat="1"/>
    <row r="2750" s="1" customFormat="1"/>
    <row r="2751" s="1" customFormat="1"/>
    <row r="2752" s="1" customFormat="1"/>
    <row r="2753" s="1" customFormat="1"/>
    <row r="2754" s="1" customFormat="1"/>
    <row r="2755" s="1" customFormat="1"/>
    <row r="2756" s="1" customFormat="1"/>
    <row r="2757" s="1" customFormat="1"/>
    <row r="2758" s="1" customFormat="1"/>
    <row r="2759" s="1" customFormat="1"/>
    <row r="2760" s="1" customFormat="1"/>
    <row r="2761" s="1" customFormat="1"/>
    <row r="2762" s="1" customFormat="1"/>
    <row r="2763" s="1" customFormat="1"/>
    <row r="2764" s="1" customFormat="1"/>
    <row r="2765" s="1" customFormat="1"/>
    <row r="2766" s="1" customFormat="1"/>
    <row r="2767" s="1" customFormat="1"/>
    <row r="2768" s="1" customFormat="1"/>
    <row r="2769" s="1" customFormat="1"/>
    <row r="2770" s="1" customFormat="1"/>
    <row r="2771" s="1" customFormat="1"/>
    <row r="2772" s="1" customFormat="1"/>
    <row r="2773" s="1" customFormat="1"/>
    <row r="2774" s="1" customFormat="1"/>
    <row r="2775" s="1" customFormat="1"/>
    <row r="2776" s="1" customFormat="1"/>
    <row r="2777" s="1" customFormat="1"/>
    <row r="2778" s="1" customFormat="1"/>
    <row r="2779" s="1" customFormat="1"/>
    <row r="2780" s="1" customFormat="1"/>
    <row r="2781" s="1" customFormat="1"/>
    <row r="2782" s="1" customFormat="1"/>
    <row r="2783" s="1" customFormat="1"/>
    <row r="2784" s="1" customFormat="1"/>
    <row r="2785" s="1" customFormat="1"/>
    <row r="2786" s="1" customFormat="1"/>
    <row r="2787" s="1" customFormat="1"/>
    <row r="2788" s="1" customFormat="1"/>
    <row r="2789" s="1" customFormat="1"/>
    <row r="2790" s="1" customFormat="1"/>
    <row r="2791" s="1" customFormat="1"/>
    <row r="2792" s="1" customFormat="1"/>
    <row r="2793" s="1" customFormat="1"/>
    <row r="2794" s="1" customFormat="1"/>
    <row r="2795" s="1" customFormat="1"/>
    <row r="2796" s="1" customFormat="1"/>
    <row r="2797" s="1" customFormat="1"/>
    <row r="2798" s="1" customFormat="1"/>
    <row r="2799" s="1" customFormat="1"/>
    <row r="2800" s="1" customFormat="1"/>
    <row r="2801" s="1" customFormat="1"/>
    <row r="2802" s="1" customFormat="1"/>
    <row r="2803" s="1" customFormat="1"/>
    <row r="2804" s="1" customFormat="1"/>
    <row r="2805" s="1" customFormat="1"/>
    <row r="2806" s="1" customFormat="1"/>
    <row r="2807" s="1" customFormat="1"/>
    <row r="2808" s="1" customFormat="1"/>
    <row r="2809" s="1" customFormat="1"/>
    <row r="2810" s="1" customFormat="1"/>
    <row r="2811" s="1" customFormat="1"/>
    <row r="2812" s="1" customFormat="1"/>
    <row r="2813" s="1" customFormat="1"/>
    <row r="2814" s="1" customFormat="1"/>
    <row r="2815" s="1" customFormat="1"/>
    <row r="2816" s="1" customFormat="1"/>
    <row r="2817" s="1" customFormat="1"/>
    <row r="2818" s="1" customFormat="1"/>
    <row r="2819" s="1" customFormat="1"/>
    <row r="2820" s="1" customFormat="1"/>
    <row r="2821" s="1" customFormat="1"/>
    <row r="2822" s="1" customFormat="1"/>
    <row r="2823" s="1" customFormat="1"/>
    <row r="2824" s="1" customFormat="1"/>
    <row r="2825" s="1" customFormat="1"/>
    <row r="2826" s="1" customFormat="1"/>
    <row r="2827" s="1" customFormat="1"/>
    <row r="2828" s="1" customFormat="1"/>
    <row r="2829" s="1" customFormat="1"/>
    <row r="2830" s="1" customFormat="1"/>
    <row r="2831" s="1" customFormat="1"/>
    <row r="2832" s="1" customFormat="1"/>
    <row r="2833" s="1" customFormat="1"/>
    <row r="2834" s="1" customFormat="1"/>
    <row r="2835" s="1" customFormat="1"/>
    <row r="2836" s="1" customFormat="1"/>
    <row r="2837" s="1" customFormat="1"/>
    <row r="2838" s="1" customFormat="1"/>
    <row r="2839" s="1" customFormat="1"/>
    <row r="2840" s="1" customFormat="1"/>
    <row r="2841" s="1" customFormat="1"/>
    <row r="2842" s="1" customFormat="1"/>
    <row r="2843" s="1" customFormat="1"/>
    <row r="2844" s="1" customFormat="1"/>
    <row r="2845" s="1" customFormat="1"/>
    <row r="2846" s="1" customFormat="1"/>
    <row r="2847" s="1" customFormat="1"/>
    <row r="2848" s="1" customFormat="1"/>
    <row r="2849" s="1" customFormat="1"/>
    <row r="2850" s="1" customFormat="1"/>
    <row r="2851" s="1" customFormat="1"/>
    <row r="2852" s="1" customFormat="1"/>
    <row r="2853" s="1" customFormat="1"/>
    <row r="2854" s="1" customFormat="1"/>
    <row r="2855" s="1" customFormat="1"/>
    <row r="2856" s="1" customFormat="1"/>
    <row r="2857" s="1" customFormat="1"/>
    <row r="2858" s="1" customFormat="1"/>
    <row r="2859" s="1" customFormat="1"/>
    <row r="2860" s="1" customFormat="1"/>
    <row r="2861" s="1" customFormat="1"/>
    <row r="2862" s="1" customFormat="1"/>
    <row r="2863" s="1" customFormat="1"/>
    <row r="2864" s="1" customFormat="1"/>
    <row r="2865" s="1" customFormat="1"/>
    <row r="2866" s="1" customFormat="1"/>
    <row r="2867" s="1" customFormat="1"/>
    <row r="2868" s="1" customFormat="1"/>
    <row r="2869" s="1" customFormat="1"/>
    <row r="2870" s="1" customFormat="1"/>
    <row r="2871" s="1" customFormat="1"/>
    <row r="2872" s="1" customFormat="1"/>
    <row r="2873" s="1" customFormat="1"/>
    <row r="2874" s="1" customFormat="1"/>
    <row r="2875" s="1" customFormat="1"/>
    <row r="2876" s="1" customFormat="1"/>
    <row r="2877" s="1" customFormat="1"/>
    <row r="2878" s="1" customFormat="1"/>
    <row r="2879" s="1" customFormat="1"/>
    <row r="2880" s="1" customFormat="1"/>
    <row r="2881" s="1" customFormat="1"/>
    <row r="2882" s="1" customFormat="1"/>
    <row r="2883" s="1" customFormat="1"/>
    <row r="2884" s="1" customFormat="1"/>
    <row r="2885" s="1" customFormat="1"/>
    <row r="2886" s="1" customFormat="1"/>
    <row r="2887" s="1" customFormat="1"/>
    <row r="2888" s="1" customFormat="1"/>
    <row r="2889" s="1" customFormat="1"/>
    <row r="2890" s="1" customFormat="1"/>
    <row r="2891" s="1" customFormat="1"/>
    <row r="2892" s="1" customFormat="1"/>
    <row r="2893" s="1" customFormat="1"/>
    <row r="2894" s="1" customFormat="1"/>
    <row r="2895" s="1" customFormat="1"/>
    <row r="2896" s="1" customFormat="1"/>
    <row r="2897" s="1" customFormat="1"/>
    <row r="2898" s="1" customFormat="1"/>
    <row r="2899" s="1" customFormat="1"/>
    <row r="2900" s="1" customFormat="1"/>
    <row r="2901" s="1" customFormat="1"/>
    <row r="2902" s="1" customFormat="1"/>
    <row r="2903" s="1" customFormat="1"/>
    <row r="2904" s="1" customFormat="1"/>
    <row r="2905" s="1" customFormat="1"/>
    <row r="2906" s="1" customFormat="1"/>
    <row r="2907" s="1" customFormat="1"/>
    <row r="2908" s="1" customFormat="1"/>
    <row r="2909" s="1" customFormat="1"/>
    <row r="2910" s="1" customFormat="1"/>
    <row r="2911" s="1" customFormat="1"/>
    <row r="2912" s="1" customFormat="1"/>
    <row r="2913" s="1" customFormat="1"/>
    <row r="2914" s="1" customFormat="1"/>
    <row r="2915" s="1" customFormat="1"/>
    <row r="2916" s="1" customFormat="1"/>
    <row r="2917" s="1" customFormat="1"/>
    <row r="2918" s="1" customFormat="1"/>
    <row r="2919" s="1" customFormat="1"/>
    <row r="2920" s="1" customFormat="1"/>
    <row r="2921" s="1" customFormat="1"/>
    <row r="2922" s="1" customFormat="1"/>
    <row r="2923" s="1" customFormat="1"/>
    <row r="2924" s="1" customFormat="1"/>
    <row r="2925" s="1" customFormat="1"/>
    <row r="2926" s="1" customFormat="1"/>
    <row r="2927" s="1" customFormat="1"/>
    <row r="2928" s="1" customFormat="1"/>
    <row r="2929" s="1" customFormat="1"/>
    <row r="2930" s="1" customFormat="1"/>
    <row r="2931" s="1" customFormat="1"/>
    <row r="2932" s="1" customFormat="1"/>
    <row r="2933" s="1" customFormat="1"/>
    <row r="2934" s="1" customFormat="1"/>
    <row r="2935" s="1" customFormat="1"/>
    <row r="2936" s="1" customFormat="1"/>
    <row r="2937" s="1" customFormat="1"/>
    <row r="2938" s="1" customFormat="1"/>
    <row r="2939" s="1" customFormat="1"/>
    <row r="2940" s="1" customFormat="1"/>
    <row r="2941" s="1" customFormat="1"/>
    <row r="2942" s="1" customFormat="1"/>
    <row r="2943" s="1" customFormat="1"/>
    <row r="2944" s="1" customFormat="1"/>
    <row r="2945" s="1" customFormat="1"/>
    <row r="2946" s="1" customFormat="1"/>
    <row r="2947" s="1" customFormat="1"/>
    <row r="2948" s="1" customFormat="1"/>
    <row r="2949" s="1" customFormat="1"/>
    <row r="2950" s="1" customFormat="1"/>
    <row r="2951" s="1" customFormat="1"/>
    <row r="2952" s="1" customFormat="1"/>
    <row r="2953" s="1" customFormat="1"/>
    <row r="2954" s="1" customFormat="1"/>
    <row r="2955" s="1" customFormat="1"/>
    <row r="2956" s="1" customFormat="1"/>
    <row r="2957" s="1" customFormat="1"/>
    <row r="2958" s="1" customFormat="1"/>
    <row r="2959" s="1" customFormat="1"/>
    <row r="2960" s="1" customFormat="1"/>
    <row r="2961" s="1" customFormat="1"/>
    <row r="2962" s="1" customFormat="1"/>
    <row r="2963" s="1" customFormat="1"/>
    <row r="2964" s="1" customFormat="1"/>
    <row r="2965" s="1" customFormat="1"/>
    <row r="2966" s="1" customFormat="1"/>
    <row r="2967" s="1" customFormat="1"/>
    <row r="2968" s="1" customFormat="1"/>
    <row r="2969" s="1" customFormat="1"/>
    <row r="2970" s="1" customFormat="1"/>
    <row r="2971" s="1" customFormat="1"/>
    <row r="2972" s="1" customFormat="1"/>
    <row r="2973" s="1" customFormat="1"/>
    <row r="2974" s="1" customFormat="1"/>
    <row r="2975" s="1" customFormat="1"/>
    <row r="2976" s="1" customFormat="1"/>
    <row r="2977" s="1" customFormat="1"/>
    <row r="2978" s="1" customFormat="1"/>
    <row r="2979" s="1" customFormat="1"/>
    <row r="2980" s="1" customFormat="1"/>
    <row r="2981" s="1" customFormat="1"/>
    <row r="2982" s="1" customFormat="1"/>
    <row r="2983" s="1" customFormat="1"/>
    <row r="2984" s="1" customFormat="1"/>
    <row r="2985" s="1" customFormat="1"/>
    <row r="2986" s="1" customFormat="1"/>
    <row r="2987" s="1" customFormat="1"/>
    <row r="2988" s="1" customFormat="1"/>
    <row r="2989" s="1" customFormat="1"/>
    <row r="2990" s="1" customFormat="1"/>
    <row r="2991" s="1" customFormat="1"/>
    <row r="2992" s="1" customFormat="1"/>
    <row r="2993" s="1" customFormat="1"/>
    <row r="2994" s="1" customFormat="1"/>
    <row r="2995" s="1" customFormat="1"/>
    <row r="2996" s="1" customFormat="1"/>
    <row r="2997" s="1" customFormat="1"/>
    <row r="2998" s="1" customFormat="1"/>
    <row r="2999" s="1" customFormat="1"/>
    <row r="3000" s="1" customFormat="1"/>
    <row r="3001" s="1" customFormat="1"/>
    <row r="3002" s="1" customFormat="1"/>
    <row r="3003" s="1" customFormat="1"/>
    <row r="3004" s="1" customFormat="1"/>
    <row r="3005" s="1" customFormat="1"/>
    <row r="3006" s="1" customFormat="1"/>
    <row r="3007" s="1" customFormat="1"/>
    <row r="3008" s="1" customFormat="1"/>
    <row r="3009" s="1" customFormat="1"/>
    <row r="3010" s="1" customFormat="1"/>
    <row r="3011" s="1" customFormat="1"/>
    <row r="3012" s="1" customFormat="1"/>
    <row r="3013" s="1" customFormat="1"/>
    <row r="3014" s="1" customFormat="1"/>
    <row r="3015" s="1" customFormat="1"/>
    <row r="3016" s="1" customFormat="1"/>
    <row r="3017" s="1" customFormat="1"/>
    <row r="3018" s="1" customFormat="1"/>
    <row r="3019" s="1" customFormat="1"/>
    <row r="3020" s="1" customFormat="1"/>
    <row r="3021" s="1" customFormat="1"/>
    <row r="3022" s="1" customFormat="1"/>
    <row r="3023" s="1" customFormat="1"/>
    <row r="3024" s="1" customFormat="1"/>
    <row r="3025" s="1" customFormat="1"/>
    <row r="3026" s="1" customFormat="1"/>
    <row r="3027" s="1" customFormat="1"/>
    <row r="3028" s="1" customFormat="1"/>
    <row r="3029" s="1" customFormat="1"/>
    <row r="3030" s="1" customFormat="1"/>
    <row r="3031" s="1" customFormat="1"/>
    <row r="3032" s="1" customFormat="1"/>
    <row r="3033" s="1" customFormat="1"/>
    <row r="3034" s="1" customFormat="1"/>
    <row r="3035" s="1" customFormat="1"/>
    <row r="3036" s="1" customFormat="1"/>
    <row r="3037" s="1" customFormat="1"/>
    <row r="3038" s="1" customFormat="1"/>
    <row r="3039" s="1" customFormat="1"/>
    <row r="3040" s="1" customFormat="1"/>
    <row r="3041" s="1" customFormat="1"/>
    <row r="3042" s="1" customFormat="1"/>
    <row r="3043" s="1" customFormat="1"/>
    <row r="3044" s="1" customFormat="1"/>
    <row r="3045" s="1" customFormat="1"/>
    <row r="3046" s="1" customFormat="1"/>
    <row r="3047" s="1" customFormat="1"/>
    <row r="3048" s="1" customFormat="1"/>
    <row r="3049" s="1" customFormat="1"/>
    <row r="3050" s="1" customFormat="1"/>
    <row r="3051" s="1" customFormat="1"/>
    <row r="3052" s="1" customFormat="1"/>
    <row r="3053" s="1" customFormat="1"/>
    <row r="3054" s="1" customFormat="1"/>
    <row r="3055" s="1" customFormat="1"/>
    <row r="3056" s="1" customFormat="1"/>
    <row r="3057" s="1" customFormat="1"/>
    <row r="3058" s="1" customFormat="1"/>
    <row r="3059" s="1" customFormat="1"/>
    <row r="3060" s="1" customFormat="1"/>
    <row r="3061" s="1" customFormat="1"/>
    <row r="3062" s="1" customFormat="1"/>
    <row r="3063" s="1" customFormat="1"/>
    <row r="3064" s="1" customFormat="1"/>
    <row r="3065" s="1" customFormat="1"/>
    <row r="3066" s="1" customFormat="1"/>
    <row r="3067" s="1" customFormat="1"/>
    <row r="3068" s="1" customFormat="1"/>
    <row r="3069" s="1" customFormat="1"/>
    <row r="3070" s="1" customFormat="1"/>
    <row r="3071" s="1" customFormat="1"/>
    <row r="3072" s="1" customFormat="1"/>
    <row r="3073" s="1" customFormat="1"/>
    <row r="3074" s="1" customFormat="1"/>
    <row r="3075" s="1" customFormat="1"/>
    <row r="3076" s="1" customFormat="1"/>
    <row r="3077" s="1" customFormat="1"/>
    <row r="3078" s="1" customFormat="1"/>
    <row r="3079" s="1" customFormat="1"/>
    <row r="3080" s="1" customFormat="1"/>
    <row r="3081" s="1" customFormat="1"/>
    <row r="3082" s="1" customFormat="1"/>
    <row r="3083" s="1" customFormat="1"/>
    <row r="3084" s="1" customFormat="1"/>
    <row r="3085" s="1" customFormat="1"/>
    <row r="3086" s="1" customFormat="1"/>
    <row r="3087" s="1" customFormat="1"/>
    <row r="3088" s="1" customFormat="1"/>
    <row r="3089" s="1" customFormat="1"/>
    <row r="3090" s="1" customFormat="1"/>
    <row r="3091" s="1" customFormat="1"/>
    <row r="3092" s="1" customFormat="1"/>
    <row r="3093" s="1" customFormat="1"/>
    <row r="3094" s="1" customFormat="1"/>
    <row r="3095" s="1" customFormat="1"/>
    <row r="3096" s="1" customFormat="1"/>
    <row r="3097" s="1" customFormat="1"/>
    <row r="3098" s="1" customFormat="1"/>
    <row r="3099" s="1" customFormat="1"/>
    <row r="3100" s="1" customFormat="1"/>
    <row r="3101" s="1" customFormat="1"/>
    <row r="3102" s="1" customFormat="1"/>
    <row r="3103" s="1" customFormat="1"/>
    <row r="3104" s="1" customFormat="1"/>
    <row r="3105" s="1" customFormat="1"/>
    <row r="3106" s="1" customFormat="1"/>
    <row r="3107" s="1" customFormat="1"/>
    <row r="3108" s="1" customFormat="1"/>
    <row r="3109" s="1" customFormat="1"/>
    <row r="3110" s="1" customFormat="1"/>
    <row r="3111" s="1" customFormat="1"/>
    <row r="3112" s="1" customFormat="1"/>
    <row r="3113" s="1" customFormat="1"/>
    <row r="3114" s="1" customFormat="1"/>
    <row r="3115" s="1" customFormat="1"/>
    <row r="3116" s="1" customFormat="1"/>
    <row r="3117" s="1" customFormat="1"/>
    <row r="3118" s="1" customFormat="1"/>
    <row r="3119" s="1" customFormat="1"/>
    <row r="3120" s="1" customFormat="1"/>
    <row r="3121" s="1" customFormat="1"/>
    <row r="3122" s="1" customFormat="1"/>
    <row r="3123" s="1" customFormat="1"/>
    <row r="3124" s="1" customFormat="1"/>
    <row r="3125" s="1" customFormat="1"/>
    <row r="3126" s="1" customFormat="1"/>
    <row r="3127" s="1" customFormat="1"/>
    <row r="3128" s="1" customFormat="1"/>
    <row r="3129" s="1" customFormat="1"/>
    <row r="3130" s="1" customFormat="1"/>
    <row r="3131" s="1" customFormat="1"/>
    <row r="3132" s="1" customFormat="1"/>
    <row r="3133" s="1" customFormat="1"/>
    <row r="3134" s="1" customFormat="1"/>
    <row r="3135" s="1" customFormat="1"/>
    <row r="3136" s="1" customFormat="1"/>
    <row r="3137" s="1" customFormat="1"/>
    <row r="3138" s="1" customFormat="1"/>
    <row r="3139" s="1" customFormat="1"/>
    <row r="3140" s="1" customFormat="1"/>
    <row r="3141" s="1" customFormat="1"/>
    <row r="3142" s="1" customFormat="1"/>
    <row r="3143" s="1" customFormat="1"/>
    <row r="3144" s="1" customFormat="1"/>
    <row r="3145" s="1" customFormat="1"/>
    <row r="3146" s="1" customFormat="1"/>
    <row r="3147" s="1" customFormat="1"/>
    <row r="3148" s="1" customFormat="1"/>
    <row r="3149" s="1" customFormat="1"/>
    <row r="3150" s="1" customFormat="1"/>
    <row r="3151" s="1" customFormat="1"/>
    <row r="3152" s="1" customFormat="1"/>
    <row r="3153" s="1" customFormat="1"/>
    <row r="3154" s="1" customFormat="1"/>
    <row r="3155" s="1" customFormat="1"/>
    <row r="3156" s="1" customFormat="1"/>
    <row r="3157" s="1" customFormat="1"/>
    <row r="3158" s="1" customFormat="1"/>
    <row r="3159" s="1" customFormat="1"/>
    <row r="3160" s="1" customFormat="1"/>
    <row r="3161" s="1" customFormat="1"/>
    <row r="3162" s="1" customFormat="1"/>
    <row r="3163" s="1" customFormat="1"/>
    <row r="3164" s="1" customFormat="1"/>
    <row r="3165" s="1" customFormat="1"/>
    <row r="3166" s="1" customFormat="1"/>
    <row r="3167" s="1" customFormat="1"/>
    <row r="3168" s="1" customFormat="1"/>
    <row r="3169" s="1" customFormat="1"/>
    <row r="3170" s="1" customFormat="1"/>
    <row r="3171" s="1" customFormat="1"/>
    <row r="3172" s="1" customFormat="1"/>
    <row r="3173" s="1" customFormat="1"/>
    <row r="3174" s="1" customFormat="1"/>
    <row r="3175" s="1" customFormat="1"/>
    <row r="3176" s="1" customFormat="1"/>
    <row r="3177" s="1" customFormat="1"/>
    <row r="3178" s="1" customFormat="1"/>
    <row r="3179" s="1" customFormat="1"/>
    <row r="3180" s="1" customFormat="1"/>
    <row r="3181" s="1" customFormat="1"/>
    <row r="3182" s="1" customFormat="1"/>
    <row r="3183" s="1" customFormat="1"/>
    <row r="3184" s="1" customFormat="1"/>
    <row r="3185" s="1" customFormat="1"/>
    <row r="3186" s="1" customFormat="1"/>
    <row r="3187" s="1" customFormat="1"/>
    <row r="3188" s="1" customFormat="1"/>
    <row r="3189" s="1" customFormat="1"/>
    <row r="3190" s="1" customFormat="1"/>
    <row r="3191" s="1" customFormat="1"/>
    <row r="3192" s="1" customFormat="1"/>
    <row r="3193" s="1" customFormat="1"/>
    <row r="3194" s="1" customFormat="1"/>
    <row r="3195" s="1" customFormat="1"/>
    <row r="3196" s="1" customFormat="1"/>
    <row r="3197" s="1" customFormat="1"/>
    <row r="3198" s="1" customFormat="1"/>
    <row r="3199" s="1" customFormat="1"/>
    <row r="3200" s="1" customFormat="1"/>
    <row r="3201" s="1" customFormat="1"/>
    <row r="3202" s="1" customFormat="1"/>
    <row r="3203" s="1" customFormat="1"/>
    <row r="3204" s="1" customFormat="1"/>
    <row r="3205" s="1" customFormat="1"/>
    <row r="3206" s="1" customFormat="1"/>
    <row r="3207" s="1" customFormat="1"/>
    <row r="3208" s="1" customFormat="1"/>
    <row r="3209" s="1" customFormat="1"/>
    <row r="3210" s="1" customFormat="1"/>
    <row r="3211" s="1" customFormat="1"/>
    <row r="3212" s="1" customFormat="1"/>
    <row r="3213" s="1" customFormat="1"/>
    <row r="3214" s="1" customFormat="1"/>
    <row r="3215" s="1" customFormat="1"/>
    <row r="3216" s="1" customFormat="1"/>
    <row r="3217" s="1" customFormat="1"/>
    <row r="3218" s="1" customFormat="1"/>
    <row r="3219" s="1" customFormat="1"/>
    <row r="3220" s="1" customFormat="1"/>
    <row r="3221" s="1" customFormat="1"/>
    <row r="3222" s="1" customFormat="1"/>
    <row r="3223" s="1" customFormat="1"/>
    <row r="3224" s="1" customFormat="1"/>
    <row r="3225" s="1" customFormat="1"/>
    <row r="3226" s="1" customFormat="1"/>
    <row r="3227" s="1" customFormat="1"/>
    <row r="3228" s="1" customFormat="1"/>
    <row r="3229" s="1" customFormat="1"/>
    <row r="3230" s="1" customFormat="1"/>
    <row r="3231" s="1" customFormat="1"/>
    <row r="3232" s="1" customFormat="1"/>
    <row r="3233" s="1" customFormat="1"/>
    <row r="3234" s="1" customFormat="1"/>
    <row r="3235" s="1" customFormat="1"/>
    <row r="3236" s="1" customFormat="1"/>
    <row r="3237" s="1" customFormat="1"/>
    <row r="3238" s="1" customFormat="1"/>
    <row r="3239" s="1" customFormat="1"/>
    <row r="3240" s="1" customFormat="1"/>
    <row r="3241" s="1" customFormat="1"/>
    <row r="3242" s="1" customFormat="1"/>
    <row r="3243" s="1" customFormat="1"/>
    <row r="3244" s="1" customFormat="1"/>
    <row r="3245" s="1" customFormat="1"/>
    <row r="3246" s="1" customFormat="1"/>
    <row r="3247" s="1" customFormat="1"/>
    <row r="3248" s="1" customFormat="1"/>
    <row r="3249" s="1" customFormat="1"/>
    <row r="3250" s="1" customFormat="1"/>
    <row r="3251" s="1" customFormat="1"/>
    <row r="3252" s="1" customFormat="1"/>
    <row r="3253" s="1" customFormat="1"/>
    <row r="3254" s="1" customFormat="1"/>
    <row r="3255" s="1" customFormat="1"/>
    <row r="3256" s="1" customFormat="1"/>
    <row r="3257" s="1" customFormat="1"/>
    <row r="3258" s="1" customFormat="1"/>
    <row r="3259" s="1" customFormat="1"/>
    <row r="3260" s="1" customFormat="1"/>
    <row r="3261" s="1" customFormat="1"/>
    <row r="3262" s="1" customFormat="1"/>
    <row r="3263" s="1" customFormat="1"/>
    <row r="3264" s="1" customFormat="1"/>
    <row r="3265" s="1" customFormat="1"/>
    <row r="3266" s="1" customFormat="1"/>
    <row r="3267" s="1" customFormat="1"/>
    <row r="3268" s="1" customFormat="1"/>
    <row r="3269" s="1" customFormat="1"/>
    <row r="3270" s="1" customFormat="1"/>
    <row r="3271" s="1" customFormat="1"/>
    <row r="3272" s="1" customFormat="1"/>
    <row r="3273" s="1" customFormat="1"/>
    <row r="3274" s="1" customFormat="1"/>
    <row r="3275" s="1" customFormat="1"/>
    <row r="3276" s="1" customFormat="1"/>
    <row r="3277" s="1" customFormat="1"/>
    <row r="3278" s="1" customFormat="1"/>
    <row r="3279" s="1" customFormat="1"/>
    <row r="3280" s="1" customFormat="1"/>
    <row r="3281" s="1" customFormat="1"/>
    <row r="3282" s="1" customFormat="1"/>
    <row r="3283" s="1" customFormat="1"/>
    <row r="3284" s="1" customFormat="1"/>
    <row r="3285" s="1" customFormat="1"/>
    <row r="3286" s="1" customFormat="1"/>
    <row r="3287" s="1" customFormat="1"/>
    <row r="3288" s="1" customFormat="1"/>
    <row r="3289" s="1" customFormat="1"/>
    <row r="3290" s="1" customFormat="1"/>
    <row r="3291" s="1" customFormat="1"/>
    <row r="3292" s="1" customFormat="1"/>
    <row r="3293" s="1" customFormat="1"/>
    <row r="3294" s="1" customFormat="1"/>
    <row r="3295" s="1" customFormat="1"/>
    <row r="3296" s="1" customFormat="1"/>
    <row r="3297" s="1" customFormat="1"/>
    <row r="3298" s="1" customFormat="1"/>
    <row r="3299" s="1" customFormat="1"/>
    <row r="3300" s="1" customFormat="1"/>
    <row r="3301" s="1" customFormat="1"/>
    <row r="3302" s="1" customFormat="1"/>
    <row r="3303" s="1" customFormat="1"/>
    <row r="3304" s="1" customFormat="1"/>
    <row r="3305" s="1" customFormat="1"/>
    <row r="3306" s="1" customFormat="1"/>
    <row r="3307" s="1" customFormat="1"/>
    <row r="3308" s="1" customFormat="1"/>
    <row r="3309" s="1" customFormat="1"/>
    <row r="3310" s="1" customFormat="1"/>
    <row r="3311" s="1" customFormat="1"/>
    <row r="3312" s="1" customFormat="1"/>
    <row r="3313" s="1" customFormat="1"/>
    <row r="3314" s="1" customFormat="1"/>
    <row r="3315" s="1" customFormat="1"/>
    <row r="3316" s="1" customFormat="1"/>
    <row r="3317" s="1" customFormat="1"/>
    <row r="3318" s="1" customFormat="1"/>
    <row r="3319" s="1" customFormat="1"/>
    <row r="3320" s="1" customFormat="1"/>
    <row r="3321" s="1" customFormat="1"/>
    <row r="3322" s="1" customFormat="1"/>
    <row r="3323" s="1" customFormat="1"/>
    <row r="3324" s="1" customFormat="1"/>
    <row r="3325" s="1" customFormat="1"/>
    <row r="3326" s="1" customFormat="1"/>
    <row r="3327" s="1" customFormat="1"/>
    <row r="3328" s="1" customFormat="1"/>
    <row r="3329" s="1" customFormat="1"/>
    <row r="3330" s="1" customFormat="1"/>
    <row r="3331" s="1" customFormat="1"/>
    <row r="3332" s="1" customFormat="1"/>
    <row r="3333" s="1" customFormat="1"/>
    <row r="3334" s="1" customFormat="1"/>
    <row r="3335" s="1" customFormat="1"/>
    <row r="3336" s="1" customFormat="1"/>
    <row r="3337" s="1" customFormat="1"/>
    <row r="3338" s="1" customFormat="1"/>
    <row r="3339" s="1" customFormat="1"/>
    <row r="3340" s="1" customFormat="1"/>
    <row r="3341" s="1" customFormat="1"/>
    <row r="3342" s="1" customFormat="1"/>
    <row r="3343" s="1" customFormat="1"/>
    <row r="3344" s="1" customFormat="1"/>
    <row r="3345" s="1" customFormat="1"/>
    <row r="3346" s="1" customFormat="1"/>
    <row r="3347" s="1" customFormat="1"/>
    <row r="3348" s="1" customFormat="1"/>
    <row r="3349" s="1" customFormat="1"/>
    <row r="3350" s="1" customFormat="1"/>
    <row r="3351" s="1" customFormat="1"/>
    <row r="3352" s="1" customFormat="1"/>
    <row r="3353" s="1" customFormat="1"/>
    <row r="3354" s="1" customFormat="1"/>
    <row r="3355" s="1" customFormat="1"/>
    <row r="3356" s="1" customFormat="1"/>
    <row r="3357" s="1" customFormat="1"/>
    <row r="3358" s="1" customFormat="1"/>
    <row r="3359" s="1" customFormat="1"/>
    <row r="3360" s="1" customFormat="1"/>
    <row r="3361" s="1" customFormat="1"/>
    <row r="3362" s="1" customFormat="1"/>
    <row r="3363" s="1" customFormat="1"/>
    <row r="3364" s="1" customFormat="1"/>
    <row r="3365" s="1" customFormat="1"/>
    <row r="3366" s="1" customFormat="1"/>
    <row r="3367" s="1" customFormat="1"/>
    <row r="3368" s="1" customFormat="1"/>
    <row r="3369" s="1" customFormat="1"/>
    <row r="3370" s="1" customFormat="1"/>
    <row r="3371" s="1" customFormat="1"/>
    <row r="3372" s="1" customFormat="1"/>
    <row r="3373" s="1" customFormat="1"/>
    <row r="3374" s="1" customFormat="1"/>
    <row r="3375" s="1" customFormat="1"/>
    <row r="3376" s="1" customFormat="1"/>
    <row r="3377" s="1" customFormat="1"/>
    <row r="3378" s="1" customFormat="1"/>
    <row r="3379" s="1" customFormat="1"/>
    <row r="3380" s="1" customFormat="1"/>
    <row r="3381" s="1" customFormat="1"/>
    <row r="3382" s="1" customFormat="1"/>
    <row r="3383" s="1" customFormat="1"/>
    <row r="3384" s="1" customFormat="1"/>
    <row r="3385" s="1" customFormat="1"/>
    <row r="3386" s="1" customFormat="1"/>
    <row r="3387" s="1" customFormat="1"/>
    <row r="3388" s="1" customFormat="1"/>
    <row r="3389" s="1" customFormat="1"/>
    <row r="3390" s="1" customFormat="1"/>
    <row r="3391" s="1" customFormat="1"/>
    <row r="3392" s="1" customFormat="1"/>
    <row r="3393" s="1" customFormat="1"/>
    <row r="3394" s="1" customFormat="1"/>
    <row r="3395" s="1" customFormat="1"/>
    <row r="3396" s="1" customFormat="1"/>
    <row r="3397" s="1" customFormat="1"/>
    <row r="3398" s="1" customFormat="1"/>
    <row r="3399" s="1" customFormat="1"/>
    <row r="3400" s="1" customFormat="1"/>
    <row r="3401" s="1" customFormat="1"/>
    <row r="3402" s="1" customFormat="1"/>
    <row r="3403" s="1" customFormat="1"/>
    <row r="3404" s="1" customFormat="1"/>
    <row r="3405" s="1" customFormat="1"/>
    <row r="3406" s="1" customFormat="1"/>
    <row r="3407" s="1" customFormat="1"/>
    <row r="3408" s="1" customFormat="1"/>
    <row r="3409" s="1" customFormat="1"/>
    <row r="3410" s="1" customFormat="1"/>
    <row r="3411" s="1" customFormat="1"/>
    <row r="3412" s="1" customFormat="1"/>
    <row r="3413" s="1" customFormat="1"/>
    <row r="3414" s="1" customFormat="1"/>
    <row r="3415" s="1" customFormat="1"/>
    <row r="3416" s="1" customFormat="1"/>
    <row r="3417" s="1" customFormat="1"/>
    <row r="3418" s="1" customFormat="1"/>
    <row r="3419" s="1" customFormat="1"/>
    <row r="3420" s="1" customFormat="1"/>
    <row r="3421" s="1" customFormat="1"/>
    <row r="3422" s="1" customFormat="1"/>
    <row r="3423" s="1" customFormat="1"/>
    <row r="3424" s="1" customFormat="1"/>
    <row r="3425" s="1" customFormat="1"/>
    <row r="3426" s="1" customFormat="1"/>
    <row r="3427" s="1" customFormat="1"/>
    <row r="3428" s="1" customFormat="1"/>
    <row r="3429" s="1" customFormat="1"/>
    <row r="3430" s="1" customFormat="1"/>
    <row r="3431" s="1" customFormat="1"/>
    <row r="3432" s="1" customFormat="1"/>
    <row r="3433" s="1" customFormat="1"/>
    <row r="3434" s="1" customFormat="1"/>
    <row r="3435" s="1" customFormat="1"/>
    <row r="3436" s="1" customFormat="1"/>
    <row r="3437" s="1" customFormat="1"/>
    <row r="3438" s="1" customFormat="1"/>
    <row r="3439" s="1" customFormat="1"/>
    <row r="3440" s="1" customFormat="1"/>
    <row r="3441" s="1" customFormat="1"/>
    <row r="3442" s="1" customFormat="1"/>
    <row r="3443" s="1" customFormat="1"/>
    <row r="3444" s="1" customFormat="1"/>
    <row r="3445" s="1" customFormat="1"/>
    <row r="3446" s="1" customFormat="1"/>
    <row r="3447" s="1" customFormat="1"/>
    <row r="3448" s="1" customFormat="1"/>
    <row r="3449" s="1" customFormat="1"/>
    <row r="3450" s="1" customFormat="1"/>
    <row r="3451" s="1" customFormat="1"/>
    <row r="3452" s="1" customFormat="1"/>
    <row r="3453" s="1" customFormat="1"/>
    <row r="3454" s="1" customFormat="1"/>
    <row r="3455" s="1" customFormat="1"/>
    <row r="3456" s="1" customFormat="1"/>
    <row r="3457" s="1" customFormat="1"/>
    <row r="3458" s="1" customFormat="1"/>
    <row r="3459" s="1" customFormat="1"/>
    <row r="3460" s="1" customFormat="1"/>
    <row r="3461" s="1" customFormat="1"/>
    <row r="3462" s="1" customFormat="1"/>
    <row r="3463" s="1" customFormat="1"/>
    <row r="3464" s="1" customFormat="1"/>
    <row r="3465" s="1" customFormat="1"/>
    <row r="3466" s="1" customFormat="1"/>
    <row r="3467" s="1" customFormat="1"/>
    <row r="3468" s="1" customFormat="1"/>
    <row r="3469" s="1" customFormat="1"/>
    <row r="3470" s="1" customFormat="1"/>
    <row r="3471" s="1" customFormat="1"/>
    <row r="3472" s="1" customFormat="1"/>
    <row r="3473" s="1" customFormat="1"/>
    <row r="3474" s="1" customFormat="1"/>
    <row r="3475" s="1" customFormat="1"/>
    <row r="3476" s="1" customFormat="1"/>
    <row r="3477" s="1" customFormat="1"/>
    <row r="3478" s="1" customFormat="1"/>
    <row r="3479" s="1" customFormat="1"/>
    <row r="3480" s="1" customFormat="1"/>
    <row r="3481" s="1" customFormat="1"/>
    <row r="3482" s="1" customFormat="1"/>
    <row r="3483" s="1" customFormat="1"/>
    <row r="3484" s="1" customFormat="1"/>
    <row r="3485" s="1" customFormat="1"/>
    <row r="3486" s="1" customFormat="1"/>
    <row r="3487" s="1" customFormat="1"/>
    <row r="3488" s="1" customFormat="1"/>
    <row r="3489" s="1" customFormat="1"/>
    <row r="3490" s="1" customFormat="1"/>
    <row r="3491" s="1" customFormat="1"/>
    <row r="3492" s="1" customFormat="1"/>
    <row r="3493" s="1" customFormat="1"/>
    <row r="3494" s="1" customFormat="1"/>
    <row r="3495" s="1" customFormat="1"/>
    <row r="3496" s="1" customFormat="1"/>
    <row r="3497" s="1" customFormat="1"/>
    <row r="3498" s="1" customFormat="1"/>
    <row r="3499" s="1" customFormat="1"/>
    <row r="3500" s="1" customFormat="1"/>
    <row r="3501" s="1" customFormat="1"/>
    <row r="3502" s="1" customFormat="1"/>
    <row r="3503" s="1" customFormat="1"/>
    <row r="3504" s="1" customFormat="1"/>
    <row r="3505" s="1" customFormat="1"/>
    <row r="3506" s="1" customFormat="1"/>
    <row r="3507" s="1" customFormat="1"/>
    <row r="3508" s="1" customFormat="1"/>
    <row r="3509" s="1" customFormat="1"/>
    <row r="3510" s="1" customFormat="1"/>
    <row r="3511" s="1" customFormat="1"/>
    <row r="3512" s="1" customFormat="1"/>
    <row r="3513" s="1" customFormat="1"/>
    <row r="3514" s="1" customFormat="1"/>
    <row r="3515" s="1" customFormat="1"/>
    <row r="3516" s="1" customFormat="1"/>
    <row r="3517" s="1" customFormat="1"/>
    <row r="3518" s="1" customFormat="1"/>
    <row r="3519" s="1" customFormat="1"/>
    <row r="3520" s="1" customFormat="1"/>
    <row r="3521" s="1" customFormat="1"/>
    <row r="3522" s="1" customFormat="1"/>
    <row r="3523" s="1" customFormat="1"/>
    <row r="3524" s="1" customFormat="1"/>
    <row r="3525" s="1" customFormat="1"/>
    <row r="3526" s="1" customFormat="1"/>
    <row r="3527" s="1" customFormat="1"/>
    <row r="3528" s="1" customFormat="1"/>
    <row r="3529" s="1" customFormat="1"/>
    <row r="3530" s="1" customFormat="1"/>
    <row r="3531" s="1" customFormat="1"/>
    <row r="3532" s="1" customFormat="1"/>
    <row r="3533" s="1" customFormat="1"/>
    <row r="3534" s="1" customFormat="1"/>
    <row r="3535" s="1" customFormat="1"/>
    <row r="3536" s="1" customFormat="1"/>
    <row r="3537" s="1" customFormat="1"/>
    <row r="3538" s="1" customFormat="1"/>
    <row r="3539" s="1" customFormat="1"/>
    <row r="3540" s="1" customFormat="1"/>
    <row r="3541" s="1" customFormat="1"/>
    <row r="3542" s="1" customFormat="1"/>
    <row r="3543" s="1" customFormat="1"/>
    <row r="3544" s="1" customFormat="1"/>
    <row r="3545" s="1" customFormat="1"/>
    <row r="3546" s="1" customFormat="1"/>
    <row r="3547" s="1" customFormat="1"/>
    <row r="3548" s="1" customFormat="1"/>
    <row r="3549" s="1" customFormat="1"/>
    <row r="3550" s="1" customFormat="1"/>
    <row r="3551" s="1" customFormat="1"/>
    <row r="3552" s="1" customFormat="1"/>
    <row r="3553" s="1" customFormat="1"/>
    <row r="3554" s="1" customFormat="1"/>
    <row r="3555" s="1" customFormat="1"/>
    <row r="3556" s="1" customFormat="1"/>
    <row r="3557" s="1" customFormat="1"/>
    <row r="3558" s="1" customFormat="1"/>
    <row r="3559" s="1" customFormat="1"/>
    <row r="3560" s="1" customFormat="1"/>
    <row r="3561" s="1" customFormat="1"/>
    <row r="3562" s="1" customFormat="1"/>
    <row r="3563" s="1" customFormat="1"/>
    <row r="3564" s="1" customFormat="1"/>
    <row r="3565" s="1" customFormat="1"/>
    <row r="3566" s="1" customFormat="1"/>
    <row r="3567" s="1" customFormat="1"/>
    <row r="3568" s="1" customFormat="1"/>
    <row r="3569" s="1" customFormat="1"/>
    <row r="3570" s="1" customFormat="1"/>
    <row r="3571" s="1" customFormat="1"/>
    <row r="3572" s="1" customFormat="1"/>
    <row r="3573" s="1" customFormat="1"/>
    <row r="3574" s="1" customFormat="1"/>
    <row r="3575" s="1" customFormat="1"/>
    <row r="3576" s="1" customFormat="1"/>
    <row r="3577" s="1" customFormat="1"/>
    <row r="3578" s="1" customFormat="1"/>
    <row r="3579" s="1" customFormat="1"/>
    <row r="3580" s="1" customFormat="1"/>
    <row r="3581" s="1" customFormat="1"/>
    <row r="3582" s="1" customFormat="1"/>
    <row r="3583" s="1" customFormat="1"/>
    <row r="3584" s="1" customFormat="1"/>
    <row r="3585" s="1" customFormat="1"/>
    <row r="3586" s="1" customFormat="1"/>
    <row r="3587" s="1" customFormat="1"/>
    <row r="3588" s="1" customFormat="1"/>
    <row r="3589" s="1" customFormat="1"/>
    <row r="3590" s="1" customFormat="1"/>
    <row r="3591" s="1" customFormat="1"/>
    <row r="3592" s="1" customFormat="1"/>
    <row r="3593" s="1" customFormat="1"/>
    <row r="3594" s="1" customFormat="1"/>
    <row r="3595" s="1" customFormat="1"/>
    <row r="3596" s="1" customFormat="1"/>
    <row r="3597" s="1" customFormat="1"/>
    <row r="3598" s="1" customFormat="1"/>
    <row r="3599" s="1" customFormat="1"/>
    <row r="3600" s="1" customFormat="1"/>
    <row r="3601" s="1" customFormat="1"/>
    <row r="3602" s="1" customFormat="1"/>
    <row r="3603" s="1" customFormat="1"/>
    <row r="3604" s="1" customFormat="1"/>
    <row r="3605" s="1" customFormat="1"/>
    <row r="3606" s="1" customFormat="1"/>
    <row r="3607" s="1" customFormat="1"/>
    <row r="3608" s="1" customFormat="1"/>
    <row r="3609" s="1" customFormat="1"/>
    <row r="3610" s="1" customFormat="1"/>
    <row r="3611" s="1" customFormat="1"/>
    <row r="3612" s="1" customFormat="1"/>
    <row r="3613" s="1" customFormat="1"/>
    <row r="3614" s="1" customFormat="1"/>
    <row r="3615" s="1" customFormat="1"/>
    <row r="3616" s="1" customFormat="1"/>
    <row r="3617" s="1" customFormat="1"/>
    <row r="3618" s="1" customFormat="1"/>
    <row r="3619" s="1" customFormat="1"/>
    <row r="3620" s="1" customFormat="1"/>
    <row r="3621" s="1" customFormat="1"/>
    <row r="3622" s="1" customFormat="1"/>
    <row r="3623" s="1" customFormat="1"/>
    <row r="3624" s="1" customFormat="1"/>
    <row r="3625" s="1" customFormat="1"/>
    <row r="3626" s="1" customFormat="1"/>
    <row r="3627" s="1" customFormat="1"/>
    <row r="3628" s="1" customFormat="1"/>
    <row r="3629" s="1" customFormat="1"/>
    <row r="3630" s="1" customFormat="1"/>
    <row r="3631" s="1" customFormat="1"/>
    <row r="3632" s="1" customFormat="1"/>
    <row r="3633" s="1" customFormat="1"/>
    <row r="3634" s="1" customFormat="1"/>
    <row r="3635" s="1" customFormat="1"/>
    <row r="3636" s="1" customFormat="1"/>
    <row r="3637" s="1" customFormat="1"/>
    <row r="3638" s="1" customFormat="1"/>
    <row r="3639" s="1" customFormat="1"/>
    <row r="3640" s="1" customFormat="1"/>
    <row r="3641" s="1" customFormat="1"/>
    <row r="3642" s="1" customFormat="1"/>
    <row r="3643" s="1" customFormat="1"/>
    <row r="3644" s="1" customFormat="1"/>
    <row r="3645" s="1" customFormat="1"/>
    <row r="3646" s="1" customFormat="1"/>
    <row r="3647" s="1" customFormat="1"/>
    <row r="3648" s="1" customFormat="1"/>
    <row r="3649" s="1" customFormat="1"/>
    <row r="3650" s="1" customFormat="1"/>
    <row r="3651" s="1" customFormat="1"/>
    <row r="3652" s="1" customFormat="1"/>
    <row r="3653" s="1" customFormat="1"/>
    <row r="3654" s="1" customFormat="1"/>
    <row r="3655" s="1" customFormat="1"/>
    <row r="3656" s="1" customFormat="1"/>
    <row r="3657" s="1" customFormat="1"/>
    <row r="3658" s="1" customFormat="1"/>
    <row r="3659" s="1" customFormat="1"/>
    <row r="3660" s="1" customFormat="1"/>
    <row r="3661" s="1" customFormat="1"/>
    <row r="3662" s="1" customFormat="1"/>
    <row r="3663" s="1" customFormat="1"/>
    <row r="3664" s="1" customFormat="1"/>
    <row r="3665" s="1" customFormat="1"/>
    <row r="3666" s="1" customFormat="1"/>
    <row r="3667" s="1" customFormat="1"/>
    <row r="3668" s="1" customFormat="1"/>
    <row r="3669" s="1" customFormat="1"/>
    <row r="3670" s="1" customFormat="1"/>
    <row r="3671" s="1" customFormat="1"/>
    <row r="3672" s="1" customFormat="1"/>
    <row r="3673" s="1" customFormat="1"/>
    <row r="3674" s="1" customFormat="1"/>
    <row r="3675" s="1" customFormat="1"/>
    <row r="3676" s="1" customFormat="1"/>
    <row r="3677" s="1" customFormat="1"/>
    <row r="3678" s="1" customFormat="1"/>
    <row r="3679" s="1" customFormat="1"/>
    <row r="3680" s="1" customFormat="1"/>
    <row r="3681" s="1" customFormat="1"/>
    <row r="3682" s="1" customFormat="1"/>
    <row r="3683" s="1" customFormat="1"/>
    <row r="3684" s="1" customFormat="1"/>
    <row r="3685" s="1" customFormat="1"/>
    <row r="3686" s="1" customFormat="1"/>
    <row r="3687" s="1" customFormat="1"/>
    <row r="3688" s="1" customFormat="1"/>
    <row r="3689" s="1" customFormat="1"/>
    <row r="3690" s="1" customFormat="1"/>
    <row r="3691" s="1" customFormat="1"/>
    <row r="3692" s="1" customFormat="1"/>
    <row r="3693" s="1" customFormat="1"/>
    <row r="3694" s="1" customFormat="1"/>
    <row r="3695" s="1" customFormat="1"/>
    <row r="3696" s="1" customFormat="1"/>
    <row r="3697" s="1" customFormat="1"/>
    <row r="3698" s="1" customFormat="1"/>
    <row r="3699" s="1" customFormat="1"/>
    <row r="3700" s="1" customFormat="1"/>
    <row r="3701" s="1" customFormat="1"/>
    <row r="3702" s="1" customFormat="1"/>
    <row r="3703" s="1" customFormat="1"/>
    <row r="3704" s="1" customFormat="1"/>
    <row r="3705" s="1" customFormat="1"/>
    <row r="3706" s="1" customFormat="1"/>
    <row r="3707" s="1" customFormat="1"/>
    <row r="3708" s="1" customFormat="1"/>
    <row r="3709" s="1" customFormat="1"/>
    <row r="3710" s="1" customFormat="1"/>
    <row r="3711" s="1" customFormat="1"/>
    <row r="3712" s="1" customFormat="1"/>
    <row r="3713" s="1" customFormat="1"/>
    <row r="3714" s="1" customFormat="1"/>
    <row r="3715" s="1" customFormat="1"/>
    <row r="3716" s="1" customFormat="1"/>
    <row r="3717" s="1" customFormat="1"/>
    <row r="3718" s="1" customFormat="1"/>
    <row r="3719" s="1" customFormat="1"/>
    <row r="3720" s="1" customFormat="1"/>
    <row r="3721" s="1" customFormat="1"/>
    <row r="3722" s="1" customFormat="1"/>
    <row r="3723" s="1" customFormat="1"/>
    <row r="3724" s="1" customFormat="1"/>
    <row r="3725" s="1" customFormat="1"/>
    <row r="3726" s="1" customFormat="1"/>
    <row r="3727" s="1" customFormat="1"/>
    <row r="3728" s="1" customFormat="1"/>
    <row r="3729" s="1" customFormat="1"/>
    <row r="3730" s="1" customFormat="1"/>
    <row r="3731" s="1" customFormat="1"/>
    <row r="3732" s="1" customFormat="1"/>
    <row r="3733" s="1" customFormat="1"/>
    <row r="3734" s="1" customFormat="1"/>
    <row r="3735" s="1" customFormat="1"/>
    <row r="3736" s="1" customFormat="1"/>
    <row r="3737" s="1" customFormat="1"/>
    <row r="3738" s="1" customFormat="1"/>
    <row r="3739" s="1" customFormat="1"/>
    <row r="3740" s="1" customFormat="1"/>
    <row r="3741" s="1" customFormat="1"/>
    <row r="3742" s="1" customFormat="1"/>
    <row r="3743" s="1" customFormat="1"/>
    <row r="3744" s="1" customFormat="1"/>
    <row r="3745" s="1" customFormat="1"/>
    <row r="3746" s="1" customFormat="1"/>
    <row r="3747" s="1" customFormat="1"/>
    <row r="3748" s="1" customFormat="1"/>
    <row r="3749" s="1" customFormat="1"/>
    <row r="3750" s="1" customFormat="1"/>
    <row r="3751" s="1" customFormat="1"/>
    <row r="3752" s="1" customFormat="1"/>
    <row r="3753" s="1" customFormat="1"/>
    <row r="3754" s="1" customFormat="1"/>
    <row r="3755" s="1" customFormat="1"/>
    <row r="3756" s="1" customFormat="1"/>
    <row r="3757" s="1" customFormat="1"/>
    <row r="3758" s="1" customFormat="1"/>
    <row r="3759" s="1" customFormat="1"/>
    <row r="3760" s="1" customFormat="1"/>
    <row r="3761" s="1" customFormat="1"/>
    <row r="3762" s="1" customFormat="1"/>
    <row r="3763" s="1" customFormat="1"/>
    <row r="3764" s="1" customFormat="1"/>
    <row r="3765" s="1" customFormat="1"/>
    <row r="3766" s="1" customFormat="1"/>
    <row r="3767" s="1" customFormat="1"/>
    <row r="3768" s="1" customFormat="1"/>
    <row r="3769" s="1" customFormat="1"/>
    <row r="3770" s="1" customFormat="1"/>
    <row r="3771" s="1" customFormat="1"/>
    <row r="3772" s="1" customFormat="1"/>
    <row r="3773" s="1" customFormat="1"/>
    <row r="3774" s="1" customFormat="1"/>
    <row r="3775" s="1" customFormat="1"/>
    <row r="3776" s="1" customFormat="1"/>
    <row r="3777" s="1" customFormat="1"/>
    <row r="3778" s="1" customFormat="1"/>
    <row r="3779" s="1" customFormat="1"/>
    <row r="3780" s="1" customFormat="1"/>
    <row r="3781" s="1" customFormat="1"/>
    <row r="3782" s="1" customFormat="1"/>
    <row r="3783" s="1" customFormat="1"/>
    <row r="3784" s="1" customFormat="1"/>
    <row r="3785" s="1" customFormat="1"/>
    <row r="3786" s="1" customFormat="1"/>
    <row r="3787" s="1" customFormat="1"/>
    <row r="3788" s="1" customFormat="1"/>
    <row r="3789" s="1" customFormat="1"/>
    <row r="3790" s="1" customFormat="1"/>
    <row r="3791" s="1" customFormat="1"/>
    <row r="3792" s="1" customFormat="1"/>
    <row r="3793" s="1" customFormat="1"/>
    <row r="3794" s="1" customFormat="1"/>
    <row r="3795" s="1" customFormat="1"/>
    <row r="3796" s="1" customFormat="1"/>
    <row r="3797" s="1" customFormat="1"/>
    <row r="3798" s="1" customFormat="1"/>
    <row r="3799" s="1" customFormat="1"/>
    <row r="3800" s="1" customFormat="1"/>
    <row r="3801" s="1" customFormat="1"/>
    <row r="3802" s="1" customFormat="1"/>
    <row r="3803" s="1" customFormat="1"/>
    <row r="3804" s="1" customFormat="1"/>
    <row r="3805" s="1" customFormat="1"/>
    <row r="3806" s="1" customFormat="1"/>
    <row r="3807" s="1" customFormat="1"/>
    <row r="3808" s="1" customFormat="1"/>
    <row r="3809" s="1" customFormat="1"/>
    <row r="3810" s="1" customFormat="1"/>
    <row r="3811" s="1" customFormat="1"/>
    <row r="3812" s="1" customFormat="1"/>
    <row r="3813" s="1" customFormat="1"/>
    <row r="3814" s="1" customFormat="1"/>
    <row r="3815" s="1" customFormat="1"/>
    <row r="3816" s="1" customFormat="1"/>
    <row r="3817" s="1" customFormat="1"/>
    <row r="3818" s="1" customFormat="1"/>
    <row r="3819" s="1" customFormat="1"/>
    <row r="3820" s="1" customFormat="1"/>
    <row r="3821" s="1" customFormat="1"/>
    <row r="3822" s="1" customFormat="1"/>
    <row r="3823" s="1" customFormat="1"/>
    <row r="3824" s="1" customFormat="1"/>
    <row r="3825" s="1" customFormat="1"/>
    <row r="3826" s="1" customFormat="1"/>
    <row r="3827" s="1" customFormat="1"/>
    <row r="3828" s="1" customFormat="1"/>
    <row r="3829" s="1" customFormat="1"/>
    <row r="3830" s="1" customFormat="1"/>
    <row r="3831" s="1" customFormat="1"/>
    <row r="3832" s="1" customFormat="1"/>
    <row r="3833" s="1" customFormat="1"/>
    <row r="3834" s="1" customFormat="1"/>
    <row r="3835" s="1" customFormat="1"/>
    <row r="3836" s="1" customFormat="1"/>
    <row r="3837" s="1" customFormat="1"/>
    <row r="3838" s="1" customFormat="1"/>
    <row r="3839" s="1" customFormat="1"/>
    <row r="3840" s="1" customFormat="1"/>
    <row r="3841" s="1" customFormat="1"/>
    <row r="3842" s="1" customFormat="1"/>
    <row r="3843" s="1" customFormat="1"/>
    <row r="3844" s="1" customFormat="1"/>
    <row r="3845" s="1" customFormat="1"/>
    <row r="3846" s="1" customFormat="1"/>
    <row r="3847" s="1" customFormat="1"/>
    <row r="3848" s="1" customFormat="1"/>
    <row r="3849" s="1" customFormat="1"/>
    <row r="3850" s="1" customFormat="1"/>
    <row r="3851" s="1" customFormat="1"/>
    <row r="3852" s="1" customFormat="1"/>
    <row r="3853" s="1" customFormat="1"/>
    <row r="3854" s="1" customFormat="1"/>
    <row r="3855" s="1" customFormat="1"/>
    <row r="3856" s="1" customFormat="1"/>
    <row r="3857" s="1" customFormat="1"/>
    <row r="3858" s="1" customFormat="1"/>
    <row r="3859" s="1" customFormat="1"/>
    <row r="3860" s="1" customFormat="1"/>
    <row r="3861" s="1" customFormat="1"/>
    <row r="3862" s="1" customFormat="1"/>
    <row r="3863" s="1" customFormat="1"/>
    <row r="3864" s="1" customFormat="1"/>
    <row r="3865" s="1" customFormat="1"/>
    <row r="3866" s="1" customFormat="1"/>
    <row r="3867" s="1" customFormat="1"/>
    <row r="3868" s="1" customFormat="1"/>
    <row r="3869" s="1" customFormat="1"/>
    <row r="3870" s="1" customFormat="1"/>
    <row r="3871" s="1" customFormat="1"/>
    <row r="3872" s="1" customFormat="1"/>
    <row r="3873" s="1" customFormat="1"/>
    <row r="3874" s="1" customFormat="1"/>
    <row r="3875" s="1" customFormat="1"/>
    <row r="3876" s="1" customFormat="1"/>
    <row r="3877" s="1" customFormat="1"/>
    <row r="3878" s="1" customFormat="1"/>
    <row r="3879" s="1" customFormat="1"/>
    <row r="3880" s="1" customFormat="1"/>
    <row r="3881" s="1" customFormat="1"/>
    <row r="3882" s="1" customFormat="1"/>
    <row r="3883" s="1" customFormat="1"/>
    <row r="3884" s="1" customFormat="1"/>
    <row r="3885" s="1" customFormat="1"/>
    <row r="3886" s="1" customFormat="1"/>
    <row r="3887" s="1" customFormat="1"/>
    <row r="3888" s="1" customFormat="1"/>
    <row r="3889" s="1" customFormat="1"/>
    <row r="3890" s="1" customFormat="1"/>
    <row r="3891" s="1" customFormat="1"/>
    <row r="3892" s="1" customFormat="1"/>
    <row r="3893" s="1" customFormat="1"/>
    <row r="3894" s="1" customFormat="1"/>
    <row r="3895" s="1" customFormat="1"/>
    <row r="3896" s="1" customFormat="1"/>
    <row r="3897" s="1" customFormat="1"/>
    <row r="3898" s="1" customFormat="1"/>
    <row r="3899" s="1" customFormat="1"/>
    <row r="3900" s="1" customFormat="1"/>
    <row r="3901" s="1" customFormat="1"/>
    <row r="3902" s="1" customFormat="1"/>
    <row r="3903" s="1" customFormat="1"/>
    <row r="3904" s="1" customFormat="1"/>
    <row r="3905" s="1" customFormat="1"/>
    <row r="3906" s="1" customFormat="1"/>
    <row r="3907" s="1" customFormat="1"/>
    <row r="3908" s="1" customFormat="1"/>
    <row r="3909" s="1" customFormat="1"/>
    <row r="3910" s="1" customFormat="1"/>
    <row r="3911" s="1" customFormat="1"/>
    <row r="3912" s="1" customFormat="1"/>
    <row r="3913" s="1" customFormat="1"/>
    <row r="3914" s="1" customFormat="1"/>
    <row r="3915" s="1" customFormat="1"/>
    <row r="3916" s="1" customFormat="1"/>
    <row r="3917" s="1" customFormat="1"/>
    <row r="3918" s="1" customFormat="1"/>
    <row r="3919" s="1" customFormat="1"/>
    <row r="3920" s="1" customFormat="1"/>
    <row r="3921" s="1" customFormat="1"/>
    <row r="3922" s="1" customFormat="1"/>
    <row r="3923" s="1" customFormat="1"/>
    <row r="3924" s="1" customFormat="1"/>
    <row r="3925" s="1" customFormat="1"/>
    <row r="3926" s="1" customFormat="1"/>
    <row r="3927" s="1" customFormat="1"/>
    <row r="3928" s="1" customFormat="1"/>
    <row r="3929" s="1" customFormat="1"/>
    <row r="3930" s="1" customFormat="1"/>
    <row r="3931" s="1" customFormat="1"/>
    <row r="3932" s="1" customFormat="1"/>
    <row r="3933" s="1" customFormat="1"/>
    <row r="3934" s="1" customFormat="1"/>
    <row r="3935" s="1" customFormat="1"/>
    <row r="3936" s="1" customFormat="1"/>
    <row r="3937" s="1" customFormat="1"/>
    <row r="3938" s="1" customFormat="1"/>
    <row r="3939" s="1" customFormat="1"/>
    <row r="3940" s="1" customFormat="1"/>
    <row r="3941" s="1" customFormat="1"/>
    <row r="3942" s="1" customFormat="1"/>
    <row r="3943" s="1" customFormat="1"/>
    <row r="3944" s="1" customFormat="1"/>
    <row r="3945" s="1" customFormat="1"/>
    <row r="3946" s="1" customFormat="1"/>
    <row r="3947" s="1" customFormat="1"/>
    <row r="3948" s="1" customFormat="1"/>
    <row r="3949" s="1" customFormat="1"/>
    <row r="3950" s="1" customFormat="1"/>
    <row r="3951" s="1" customFormat="1"/>
    <row r="3952" s="1" customFormat="1"/>
    <row r="3953" s="1" customFormat="1"/>
    <row r="3954" s="1" customFormat="1"/>
    <row r="3955" s="1" customFormat="1"/>
    <row r="3956" s="1" customFormat="1"/>
    <row r="3957" s="1" customFormat="1"/>
    <row r="3958" s="1" customFormat="1"/>
    <row r="3959" s="1" customFormat="1"/>
    <row r="3960" s="1" customFormat="1"/>
    <row r="3961" s="1" customFormat="1"/>
    <row r="3962" s="1" customFormat="1"/>
    <row r="3963" s="1" customFormat="1"/>
    <row r="3964" s="1" customFormat="1"/>
    <row r="3965" s="1" customFormat="1"/>
    <row r="3966" s="1" customFormat="1"/>
    <row r="3967" s="1" customFormat="1"/>
    <row r="3968" s="1" customFormat="1"/>
    <row r="3969" s="1" customFormat="1"/>
    <row r="3970" s="1" customFormat="1"/>
    <row r="3971" s="1" customFormat="1"/>
    <row r="3972" s="1" customFormat="1"/>
    <row r="3973" s="1" customFormat="1"/>
    <row r="3974" s="1" customFormat="1"/>
    <row r="3975" s="1" customFormat="1"/>
    <row r="3976" s="1" customFormat="1"/>
    <row r="3977" s="1" customFormat="1"/>
    <row r="3978" s="1" customFormat="1"/>
    <row r="3979" s="1" customFormat="1"/>
    <row r="3980" s="1" customFormat="1"/>
    <row r="3981" s="1" customFormat="1"/>
    <row r="3982" s="1" customFormat="1"/>
    <row r="3983" s="1" customFormat="1"/>
    <row r="3984" s="1" customFormat="1"/>
    <row r="3985" s="1" customFormat="1"/>
    <row r="3986" s="1" customFormat="1"/>
    <row r="3987" s="1" customFormat="1"/>
    <row r="3988" s="1" customFormat="1"/>
    <row r="3989" s="1" customFormat="1"/>
    <row r="3990" s="1" customFormat="1"/>
    <row r="3991" s="1" customFormat="1"/>
    <row r="3992" s="1" customFormat="1"/>
    <row r="3993" s="1" customFormat="1"/>
    <row r="3994" s="1" customFormat="1"/>
    <row r="3995" s="1" customFormat="1"/>
    <row r="3996" s="1" customFormat="1"/>
    <row r="3997" s="1" customFormat="1"/>
    <row r="3998" s="1" customFormat="1"/>
    <row r="3999" s="1" customFormat="1"/>
    <row r="4000" s="1" customFormat="1"/>
    <row r="4001" s="1" customFormat="1"/>
    <row r="4002" s="1" customFormat="1"/>
    <row r="4003" s="1" customFormat="1"/>
    <row r="4004" s="1" customFormat="1"/>
    <row r="4005" s="1" customFormat="1"/>
    <row r="4006" s="1" customFormat="1"/>
    <row r="4007" s="1" customFormat="1"/>
    <row r="4008" s="1" customFormat="1"/>
    <row r="4009" s="1" customFormat="1"/>
    <row r="4010" s="1" customFormat="1"/>
    <row r="4011" s="1" customFormat="1"/>
    <row r="4012" s="1" customFormat="1"/>
    <row r="4013" s="1" customFormat="1"/>
    <row r="4014" s="1" customFormat="1"/>
    <row r="4015" s="1" customFormat="1"/>
    <row r="4016" s="1" customFormat="1"/>
    <row r="4017" s="1" customFormat="1"/>
    <row r="4018" s="1" customFormat="1"/>
    <row r="4019" s="1" customFormat="1"/>
    <row r="4020" s="1" customFormat="1"/>
    <row r="4021" s="1" customFormat="1"/>
    <row r="4022" s="1" customFormat="1"/>
    <row r="4023" s="1" customFormat="1"/>
    <row r="4024" s="1" customFormat="1"/>
    <row r="4025" s="1" customFormat="1"/>
    <row r="4026" s="1" customFormat="1"/>
    <row r="4027" s="1" customFormat="1"/>
    <row r="4028" s="1" customFormat="1"/>
    <row r="4029" s="1" customFormat="1"/>
    <row r="4030" s="1" customFormat="1"/>
    <row r="4031" s="1" customFormat="1"/>
    <row r="4032" s="1" customFormat="1"/>
    <row r="4033" s="1" customFormat="1"/>
    <row r="4034" s="1" customFormat="1"/>
    <row r="4035" s="1" customFormat="1"/>
    <row r="4036" s="1" customFormat="1"/>
    <row r="4037" s="1" customFormat="1"/>
    <row r="4038" s="1" customFormat="1"/>
    <row r="4039" s="1" customFormat="1"/>
    <row r="4040" s="1" customFormat="1"/>
    <row r="4041" s="1" customFormat="1"/>
    <row r="4042" s="1" customFormat="1"/>
    <row r="4043" s="1" customFormat="1"/>
    <row r="4044" s="1" customFormat="1"/>
    <row r="4045" s="1" customFormat="1"/>
    <row r="4046" s="1" customFormat="1"/>
    <row r="4047" s="1" customFormat="1"/>
    <row r="4048" s="1" customFormat="1"/>
    <row r="4049" s="1" customFormat="1"/>
    <row r="4050" s="1" customFormat="1"/>
    <row r="4051" s="1" customFormat="1"/>
    <row r="4052" s="1" customFormat="1"/>
    <row r="4053" s="1" customFormat="1"/>
    <row r="4054" s="1" customFormat="1"/>
    <row r="4055" s="1" customFormat="1"/>
    <row r="4056" s="1" customFormat="1"/>
    <row r="4057" s="1" customFormat="1"/>
    <row r="4058" s="1" customFormat="1"/>
    <row r="4059" s="1" customFormat="1"/>
    <row r="4060" s="1" customFormat="1"/>
    <row r="4061" s="1" customFormat="1"/>
    <row r="4062" s="1" customFormat="1"/>
    <row r="4063" s="1" customFormat="1"/>
    <row r="4064" s="1" customFormat="1"/>
    <row r="4065" s="1" customFormat="1"/>
    <row r="4066" s="1" customFormat="1"/>
    <row r="4067" s="1" customFormat="1"/>
    <row r="4068" s="1" customFormat="1"/>
    <row r="4069" s="1" customFormat="1"/>
    <row r="4070" s="1" customFormat="1"/>
    <row r="4071" s="1" customFormat="1"/>
    <row r="4072" s="1" customFormat="1"/>
    <row r="4073" s="1" customFormat="1"/>
    <row r="4074" s="1" customFormat="1"/>
    <row r="4075" s="1" customFormat="1"/>
    <row r="4076" s="1" customFormat="1"/>
    <row r="4077" s="1" customFormat="1"/>
    <row r="4078" s="1" customFormat="1"/>
    <row r="4079" s="1" customFormat="1"/>
    <row r="4080" s="1" customFormat="1"/>
    <row r="4081" s="1" customFormat="1"/>
    <row r="4082" s="1" customFormat="1"/>
    <row r="4083" s="1" customFormat="1"/>
    <row r="4084" s="1" customFormat="1"/>
    <row r="4085" s="1" customFormat="1"/>
    <row r="4086" s="1" customFormat="1"/>
    <row r="4087" s="1" customFormat="1"/>
    <row r="4088" s="1" customFormat="1"/>
    <row r="4089" s="1" customFormat="1"/>
    <row r="4090" s="1" customFormat="1"/>
    <row r="4091" s="1" customFormat="1"/>
    <row r="4092" s="1" customFormat="1"/>
    <row r="4093" s="1" customFormat="1"/>
    <row r="4094" s="1" customFormat="1"/>
    <row r="4095" s="1" customFormat="1"/>
    <row r="4096" s="1" customFormat="1"/>
    <row r="4097" s="1" customFormat="1"/>
    <row r="4098" s="1" customFormat="1"/>
    <row r="4099" s="1" customFormat="1"/>
    <row r="4100" s="1" customFormat="1"/>
    <row r="4101" s="1" customFormat="1"/>
    <row r="4102" s="1" customFormat="1"/>
    <row r="4103" s="1" customFormat="1"/>
    <row r="4104" s="1" customFormat="1"/>
    <row r="4105" s="1" customFormat="1"/>
    <row r="4106" s="1" customFormat="1"/>
    <row r="4107" s="1" customFormat="1"/>
    <row r="4108" s="1" customFormat="1"/>
    <row r="4109" s="1" customFormat="1"/>
    <row r="4110" s="1" customFormat="1"/>
    <row r="4111" s="1" customFormat="1"/>
    <row r="4112" s="1" customFormat="1"/>
    <row r="4113" s="1" customFormat="1"/>
    <row r="4114" s="1" customFormat="1"/>
    <row r="4115" s="1" customFormat="1"/>
    <row r="4116" s="1" customFormat="1"/>
    <row r="4117" s="1" customFormat="1"/>
    <row r="4118" s="1" customFormat="1"/>
    <row r="4119" s="1" customFormat="1"/>
    <row r="4120" s="1" customFormat="1"/>
    <row r="4121" s="1" customFormat="1"/>
    <row r="4122" s="1" customFormat="1"/>
    <row r="4123" s="1" customFormat="1"/>
    <row r="4124" s="1" customFormat="1"/>
    <row r="4125" s="1" customFormat="1"/>
    <row r="4126" s="1" customFormat="1"/>
    <row r="4127" s="1" customFormat="1"/>
    <row r="4128" s="1" customFormat="1"/>
    <row r="4129" s="1" customFormat="1"/>
    <row r="4130" s="1" customFormat="1"/>
    <row r="4131" s="1" customFormat="1"/>
    <row r="4132" s="1" customFormat="1"/>
    <row r="4133" s="1" customFormat="1"/>
    <row r="4134" s="1" customFormat="1"/>
    <row r="4135" s="1" customFormat="1"/>
    <row r="4136" s="1" customFormat="1"/>
    <row r="4137" s="1" customFormat="1"/>
    <row r="4138" s="1" customFormat="1"/>
    <row r="4139" s="1" customFormat="1"/>
    <row r="4140" s="1" customFormat="1"/>
    <row r="4141" s="1" customFormat="1"/>
    <row r="4142" s="1" customFormat="1"/>
    <row r="4143" s="1" customFormat="1"/>
    <row r="4144" s="1" customFormat="1"/>
    <row r="4145" s="1" customFormat="1"/>
    <row r="4146" s="1" customFormat="1"/>
    <row r="4147" s="1" customFormat="1"/>
    <row r="4148" s="1" customFormat="1"/>
    <row r="4149" s="1" customFormat="1"/>
    <row r="4150" s="1" customFormat="1"/>
    <row r="4151" s="1" customFormat="1"/>
    <row r="4152" s="1" customFormat="1"/>
    <row r="4153" s="1" customFormat="1"/>
    <row r="4154" s="1" customFormat="1"/>
    <row r="4155" s="1" customFormat="1"/>
    <row r="4156" s="1" customFormat="1"/>
    <row r="4157" s="1" customFormat="1"/>
    <row r="4158" s="1" customFormat="1"/>
    <row r="4159" s="1" customFormat="1"/>
    <row r="4160" s="1" customFormat="1"/>
    <row r="4161" s="1" customFormat="1"/>
    <row r="4162" s="1" customFormat="1"/>
    <row r="4163" s="1" customFormat="1"/>
    <row r="4164" s="1" customFormat="1"/>
    <row r="4165" s="1" customFormat="1"/>
    <row r="4166" s="1" customFormat="1"/>
    <row r="4167" s="1" customFormat="1"/>
    <row r="4168" s="1" customFormat="1"/>
    <row r="4169" s="1" customFormat="1"/>
    <row r="4170" s="1" customFormat="1"/>
    <row r="4171" s="1" customFormat="1"/>
    <row r="4172" s="1" customFormat="1"/>
    <row r="4173" s="1" customFormat="1"/>
    <row r="4174" s="1" customFormat="1"/>
    <row r="4175" s="1" customFormat="1"/>
    <row r="4176" s="1" customFormat="1"/>
    <row r="4177" s="1" customFormat="1"/>
    <row r="4178" s="1" customFormat="1"/>
    <row r="4179" s="1" customFormat="1"/>
    <row r="4180" s="1" customFormat="1"/>
    <row r="4181" s="1" customFormat="1"/>
    <row r="4182" s="1" customFormat="1"/>
    <row r="4183" s="1" customFormat="1"/>
    <row r="4184" s="1" customFormat="1"/>
    <row r="4185" s="1" customFormat="1"/>
    <row r="4186" s="1" customFormat="1"/>
    <row r="4187" s="1" customFormat="1"/>
    <row r="4188" s="1" customFormat="1"/>
    <row r="4189" s="1" customFormat="1"/>
    <row r="4190" s="1" customFormat="1"/>
    <row r="4191" s="1" customFormat="1"/>
    <row r="4192" s="1" customFormat="1"/>
    <row r="4193" s="1" customFormat="1"/>
    <row r="4194" s="1" customFormat="1"/>
    <row r="4195" s="1" customFormat="1"/>
    <row r="4196" s="1" customFormat="1"/>
    <row r="4197" s="1" customFormat="1"/>
    <row r="4198" s="1" customFormat="1"/>
    <row r="4199" s="1" customFormat="1"/>
    <row r="4200" s="1" customFormat="1"/>
    <row r="4201" s="1" customFormat="1"/>
    <row r="4202" s="1" customFormat="1"/>
    <row r="4203" s="1" customFormat="1"/>
    <row r="4204" s="1" customFormat="1"/>
    <row r="4205" s="1" customFormat="1"/>
    <row r="4206" s="1" customFormat="1"/>
    <row r="4207" s="1" customFormat="1"/>
    <row r="4208" s="1" customFormat="1"/>
    <row r="4209" s="1" customFormat="1"/>
    <row r="4210" s="1" customFormat="1"/>
    <row r="4211" s="1" customFormat="1"/>
    <row r="4212" s="1" customFormat="1"/>
    <row r="4213" s="1" customFormat="1"/>
    <row r="4214" s="1" customFormat="1"/>
    <row r="4215" s="1" customFormat="1"/>
    <row r="4216" s="1" customFormat="1"/>
    <row r="4217" s="1" customFormat="1"/>
    <row r="4218" s="1" customFormat="1"/>
    <row r="4219" s="1" customFormat="1"/>
    <row r="4220" s="1" customFormat="1"/>
    <row r="4221" s="1" customFormat="1"/>
    <row r="4222" s="1" customFormat="1"/>
    <row r="4223" s="1" customFormat="1"/>
    <row r="4224" s="1" customFormat="1"/>
    <row r="4225" s="1" customFormat="1"/>
    <row r="4226" s="1" customFormat="1"/>
    <row r="4227" s="1" customFormat="1"/>
    <row r="4228" s="1" customFormat="1"/>
    <row r="4229" s="1" customFormat="1"/>
    <row r="4230" s="1" customFormat="1"/>
    <row r="4231" s="1" customFormat="1"/>
    <row r="4232" s="1" customFormat="1"/>
    <row r="4233" s="1" customFormat="1"/>
    <row r="4234" s="1" customFormat="1"/>
    <row r="4235" s="1" customFormat="1"/>
    <row r="4236" s="1" customFormat="1"/>
    <row r="4237" s="1" customFormat="1"/>
    <row r="4238" s="1" customFormat="1"/>
    <row r="4239" s="1" customFormat="1"/>
    <row r="4240" s="1" customFormat="1"/>
    <row r="4241" s="1" customFormat="1"/>
    <row r="4242" s="1" customFormat="1"/>
    <row r="4243" s="1" customFormat="1"/>
    <row r="4244" s="1" customFormat="1"/>
    <row r="4245" s="1" customFormat="1"/>
    <row r="4246" s="1" customFormat="1"/>
    <row r="4247" s="1" customFormat="1"/>
    <row r="4248" s="1" customFormat="1"/>
    <row r="4249" s="1" customFormat="1"/>
    <row r="4250" s="1" customFormat="1"/>
    <row r="4251" s="1" customFormat="1"/>
    <row r="4252" s="1" customFormat="1"/>
    <row r="4253" s="1" customFormat="1"/>
    <row r="4254" s="1" customFormat="1"/>
    <row r="4255" s="1" customFormat="1"/>
    <row r="4256" s="1" customFormat="1"/>
    <row r="4257" s="1" customFormat="1"/>
    <row r="4258" s="1" customFormat="1"/>
    <row r="4259" s="1" customFormat="1"/>
    <row r="4260" s="1" customFormat="1"/>
    <row r="4261" s="1" customFormat="1"/>
    <row r="4262" s="1" customFormat="1"/>
    <row r="4263" s="1" customFormat="1"/>
    <row r="4264" s="1" customFormat="1"/>
    <row r="4265" s="1" customFormat="1"/>
    <row r="4266" s="1" customFormat="1"/>
    <row r="4267" s="1" customFormat="1"/>
    <row r="4268" s="1" customFormat="1"/>
    <row r="4269" s="1" customFormat="1"/>
    <row r="4270" s="1" customFormat="1"/>
    <row r="4271" s="1" customFormat="1"/>
    <row r="4272" s="1" customFormat="1"/>
    <row r="4273" s="1" customFormat="1"/>
    <row r="4274" s="1" customFormat="1"/>
    <row r="4275" s="1" customFormat="1"/>
    <row r="4276" s="1" customFormat="1"/>
    <row r="4277" s="1" customFormat="1"/>
    <row r="4278" s="1" customFormat="1"/>
    <row r="4279" s="1" customFormat="1"/>
    <row r="4280" s="1" customFormat="1"/>
    <row r="4281" s="1" customFormat="1"/>
    <row r="4282" s="1" customFormat="1"/>
    <row r="4283" s="1" customFormat="1"/>
    <row r="4284" s="1" customFormat="1"/>
    <row r="4285" s="1" customFormat="1"/>
    <row r="4286" s="1" customFormat="1"/>
    <row r="4287" s="1" customFormat="1"/>
    <row r="4288" s="1" customFormat="1"/>
    <row r="4289" s="1" customFormat="1"/>
    <row r="4290" s="1" customFormat="1"/>
    <row r="4291" s="1" customFormat="1"/>
    <row r="4292" s="1" customFormat="1"/>
    <row r="4293" s="1" customFormat="1"/>
    <row r="4294" s="1" customFormat="1"/>
    <row r="4295" s="1" customFormat="1"/>
    <row r="4296" s="1" customFormat="1"/>
    <row r="4297" s="1" customFormat="1"/>
    <row r="4298" s="1" customFormat="1"/>
    <row r="4299" s="1" customFormat="1"/>
    <row r="4300" s="1" customFormat="1"/>
    <row r="4301" s="1" customFormat="1"/>
    <row r="4302" s="1" customFormat="1"/>
    <row r="4303" s="1" customFormat="1"/>
    <row r="4304" s="1" customFormat="1"/>
    <row r="4305" s="1" customFormat="1"/>
    <row r="4306" s="1" customFormat="1"/>
    <row r="4307" s="1" customFormat="1"/>
    <row r="4308" s="1" customFormat="1"/>
    <row r="4309" s="1" customFormat="1"/>
    <row r="4310" s="1" customFormat="1"/>
    <row r="4311" s="1" customFormat="1"/>
    <row r="4312" s="1" customFormat="1"/>
    <row r="4313" s="1" customFormat="1"/>
    <row r="4314" s="1" customFormat="1"/>
    <row r="4315" s="1" customFormat="1"/>
    <row r="4316" s="1" customFormat="1"/>
    <row r="4317" s="1" customFormat="1"/>
    <row r="4318" s="1" customFormat="1"/>
    <row r="4319" s="1" customFormat="1"/>
    <row r="4320" s="1" customFormat="1"/>
    <row r="4321" s="1" customFormat="1"/>
    <row r="4322" s="1" customFormat="1"/>
    <row r="4323" s="1" customFormat="1"/>
    <row r="4324" s="1" customFormat="1"/>
    <row r="4325" s="1" customFormat="1"/>
    <row r="4326" s="1" customFormat="1"/>
    <row r="4327" s="1" customFormat="1"/>
    <row r="4328" s="1" customFormat="1"/>
    <row r="4329" s="1" customFormat="1"/>
    <row r="4330" s="1" customFormat="1"/>
    <row r="4331" s="1" customFormat="1"/>
    <row r="4332" s="1" customFormat="1"/>
    <row r="4333" s="1" customFormat="1"/>
    <row r="4334" s="1" customFormat="1"/>
    <row r="4335" s="1" customFormat="1"/>
    <row r="4336" s="1" customFormat="1"/>
    <row r="4337" s="1" customFormat="1"/>
    <row r="4338" s="1" customFormat="1"/>
    <row r="4339" s="1" customFormat="1"/>
    <row r="4340" s="1" customFormat="1"/>
    <row r="4341" s="1" customFormat="1"/>
    <row r="4342" s="1" customFormat="1"/>
    <row r="4343" s="1" customFormat="1"/>
    <row r="4344" s="1" customFormat="1"/>
    <row r="4345" s="1" customFormat="1"/>
    <row r="4346" s="1" customFormat="1"/>
    <row r="4347" s="1" customFormat="1"/>
    <row r="4348" s="1" customFormat="1"/>
    <row r="4349" s="1" customFormat="1"/>
    <row r="4350" s="1" customFormat="1"/>
    <row r="4351" s="1" customFormat="1"/>
    <row r="4352" s="1" customFormat="1"/>
    <row r="4353" s="1" customFormat="1"/>
    <row r="4354" s="1" customFormat="1"/>
    <row r="4355" s="1" customFormat="1"/>
    <row r="4356" s="1" customFormat="1"/>
    <row r="4357" s="1" customFormat="1"/>
    <row r="4358" s="1" customFormat="1"/>
    <row r="4359" s="1" customFormat="1"/>
    <row r="4360" s="1" customFormat="1"/>
    <row r="4361" s="1" customFormat="1"/>
    <row r="4362" s="1" customFormat="1"/>
    <row r="4363" s="1" customFormat="1"/>
    <row r="4364" s="1" customFormat="1"/>
    <row r="4365" s="1" customFormat="1"/>
    <row r="4366" s="1" customFormat="1"/>
    <row r="4367" s="1" customFormat="1"/>
    <row r="4368" s="1" customFormat="1"/>
    <row r="4369" s="1" customFormat="1"/>
    <row r="4370" s="1" customFormat="1"/>
    <row r="4371" s="1" customFormat="1"/>
    <row r="4372" s="1" customFormat="1"/>
    <row r="4373" s="1" customFormat="1"/>
    <row r="4374" s="1" customFormat="1"/>
    <row r="4375" s="1" customFormat="1"/>
    <row r="4376" s="1" customFormat="1"/>
    <row r="4377" s="1" customFormat="1"/>
    <row r="4378" s="1" customFormat="1"/>
    <row r="4379" s="1" customFormat="1"/>
    <row r="4380" s="1" customFormat="1"/>
    <row r="4381" s="1" customFormat="1"/>
    <row r="4382" s="1" customFormat="1"/>
    <row r="4383" s="1" customFormat="1"/>
    <row r="4384" s="1" customFormat="1"/>
    <row r="4385" s="1" customFormat="1"/>
    <row r="4386" s="1" customFormat="1"/>
    <row r="4387" s="1" customFormat="1"/>
    <row r="4388" s="1" customFormat="1"/>
    <row r="4389" s="1" customFormat="1"/>
    <row r="4390" s="1" customFormat="1"/>
    <row r="4391" s="1" customFormat="1"/>
    <row r="4392" s="1" customFormat="1"/>
    <row r="4393" s="1" customFormat="1"/>
    <row r="4394" s="1" customFormat="1"/>
    <row r="4395" s="1" customFormat="1"/>
    <row r="4396" s="1" customFormat="1"/>
    <row r="4397" s="1" customFormat="1"/>
    <row r="4398" s="1" customFormat="1"/>
    <row r="4399" s="1" customFormat="1"/>
    <row r="4400" s="1" customFormat="1"/>
    <row r="4401" s="1" customFormat="1"/>
    <row r="4402" s="1" customFormat="1"/>
    <row r="4403" s="1" customFormat="1"/>
    <row r="4404" s="1" customFormat="1"/>
    <row r="4405" s="1" customFormat="1"/>
    <row r="4406" s="1" customFormat="1"/>
    <row r="4407" s="1" customFormat="1"/>
    <row r="4408" s="1" customFormat="1"/>
    <row r="4409" s="1" customFormat="1"/>
    <row r="4410" s="1" customFormat="1"/>
    <row r="4411" s="1" customFormat="1"/>
    <row r="4412" s="1" customFormat="1"/>
    <row r="4413" s="1" customFormat="1"/>
    <row r="4414" s="1" customFormat="1"/>
    <row r="4415" s="1" customFormat="1"/>
    <row r="4416" s="1" customFormat="1"/>
    <row r="4417" s="1" customFormat="1"/>
    <row r="4418" s="1" customFormat="1"/>
    <row r="4419" s="1" customFormat="1"/>
    <row r="4420" s="1" customFormat="1"/>
    <row r="4421" s="1" customFormat="1"/>
    <row r="4422" s="1" customFormat="1"/>
    <row r="4423" s="1" customFormat="1"/>
    <row r="4424" s="1" customFormat="1"/>
    <row r="4425" s="1" customFormat="1"/>
    <row r="4426" s="1" customFormat="1"/>
    <row r="4427" s="1" customFormat="1"/>
    <row r="4428" s="1" customFormat="1"/>
    <row r="4429" s="1" customFormat="1"/>
    <row r="4430" s="1" customFormat="1"/>
    <row r="4431" s="1" customFormat="1"/>
    <row r="4432" s="1" customFormat="1"/>
    <row r="4433" s="1" customFormat="1"/>
    <row r="4434" s="1" customFormat="1"/>
    <row r="4435" s="1" customFormat="1"/>
    <row r="4436" s="1" customFormat="1"/>
    <row r="4437" s="1" customFormat="1"/>
    <row r="4438" s="1" customFormat="1"/>
    <row r="4439" s="1" customFormat="1"/>
    <row r="4440" s="1" customFormat="1"/>
    <row r="4441" s="1" customFormat="1"/>
    <row r="4442" s="1" customFormat="1"/>
    <row r="4443" s="1" customFormat="1"/>
    <row r="4444" s="1" customFormat="1"/>
    <row r="4445" s="1" customFormat="1"/>
    <row r="4446" s="1" customFormat="1"/>
    <row r="4447" s="1" customFormat="1"/>
    <row r="4448" s="1" customFormat="1"/>
    <row r="4449" s="1" customFormat="1"/>
    <row r="4450" s="1" customFormat="1"/>
    <row r="4451" s="1" customFormat="1"/>
    <row r="4452" s="1" customFormat="1"/>
    <row r="4453" s="1" customFormat="1"/>
    <row r="4454" s="1" customFormat="1"/>
    <row r="4455" s="1" customFormat="1"/>
    <row r="4456" s="1" customFormat="1"/>
    <row r="4457" s="1" customFormat="1"/>
    <row r="4458" s="1" customFormat="1"/>
    <row r="4459" s="1" customFormat="1"/>
    <row r="4460" s="1" customFormat="1"/>
    <row r="4461" s="1" customFormat="1"/>
    <row r="4462" s="1" customFormat="1"/>
    <row r="4463" s="1" customFormat="1"/>
    <row r="4464" s="1" customFormat="1"/>
    <row r="4465" s="1" customFormat="1"/>
    <row r="4466" s="1" customFormat="1"/>
    <row r="4467" s="1" customFormat="1"/>
    <row r="4468" s="1" customFormat="1"/>
    <row r="4469" s="1" customFormat="1"/>
    <row r="4470" s="1" customFormat="1"/>
    <row r="4471" s="1" customFormat="1"/>
    <row r="4472" s="1" customFormat="1"/>
    <row r="4473" s="1" customFormat="1"/>
    <row r="4474" s="1" customFormat="1"/>
    <row r="4475" s="1" customFormat="1"/>
    <row r="4476" s="1" customFormat="1"/>
    <row r="4477" s="1" customFormat="1"/>
    <row r="4478" s="1" customFormat="1"/>
    <row r="4479" s="1" customFormat="1"/>
    <row r="4480" s="1" customFormat="1"/>
    <row r="4481" s="1" customFormat="1"/>
    <row r="4482" s="1" customFormat="1"/>
    <row r="4483" s="1" customFormat="1"/>
    <row r="4484" s="1" customFormat="1"/>
    <row r="4485" s="1" customFormat="1"/>
    <row r="4486" s="1" customFormat="1"/>
    <row r="4487" s="1" customFormat="1"/>
    <row r="4488" s="1" customFormat="1"/>
    <row r="4489" s="1" customFormat="1"/>
    <row r="4490" s="1" customFormat="1"/>
    <row r="4491" s="1" customFormat="1"/>
    <row r="4492" s="1" customFormat="1"/>
    <row r="4493" s="1" customFormat="1"/>
    <row r="4494" s="1" customFormat="1"/>
    <row r="4495" s="1" customFormat="1"/>
    <row r="4496" s="1" customFormat="1"/>
    <row r="4497" s="1" customFormat="1"/>
    <row r="4498" s="1" customFormat="1"/>
    <row r="4499" s="1" customFormat="1"/>
    <row r="4500" s="1" customFormat="1"/>
    <row r="4501" s="1" customFormat="1"/>
    <row r="4502" s="1" customFormat="1"/>
    <row r="4503" s="1" customFormat="1"/>
    <row r="4504" s="1" customFormat="1"/>
    <row r="4505" s="1" customFormat="1"/>
    <row r="4506" s="1" customFormat="1"/>
    <row r="4507" s="1" customFormat="1"/>
    <row r="4508" s="1" customFormat="1"/>
    <row r="4509" s="1" customFormat="1"/>
    <row r="4510" s="1" customFormat="1"/>
    <row r="4511" s="1" customFormat="1"/>
    <row r="4512" s="1" customFormat="1"/>
    <row r="4513" s="1" customFormat="1"/>
    <row r="4514" s="1" customFormat="1"/>
    <row r="4515" s="1" customFormat="1"/>
    <row r="4516" s="1" customFormat="1"/>
    <row r="4517" s="1" customFormat="1"/>
    <row r="4518" s="1" customFormat="1"/>
    <row r="4519" s="1" customFormat="1"/>
    <row r="4520" s="1" customFormat="1"/>
    <row r="4521" s="1" customFormat="1"/>
    <row r="4522" s="1" customFormat="1"/>
    <row r="4523" s="1" customFormat="1"/>
    <row r="4524" s="1" customFormat="1"/>
    <row r="4525" s="1" customFormat="1"/>
    <row r="4526" s="1" customFormat="1"/>
    <row r="4527" s="1" customFormat="1"/>
    <row r="4528" s="1" customFormat="1"/>
    <row r="4529" s="1" customFormat="1"/>
    <row r="4530" s="1" customFormat="1"/>
    <row r="4531" s="1" customFormat="1"/>
    <row r="4532" s="1" customFormat="1"/>
    <row r="4533" s="1" customFormat="1"/>
    <row r="4534" s="1" customFormat="1"/>
    <row r="4535" s="1" customFormat="1"/>
    <row r="4536" s="1" customFormat="1"/>
    <row r="4537" s="1" customFormat="1"/>
    <row r="4538" s="1" customFormat="1"/>
    <row r="4539" s="1" customFormat="1"/>
    <row r="4540" s="1" customFormat="1"/>
    <row r="4541" s="1" customFormat="1"/>
    <row r="4542" s="1" customFormat="1"/>
    <row r="4543" s="1" customFormat="1"/>
    <row r="4544" s="1" customFormat="1"/>
    <row r="4545" s="1" customFormat="1"/>
    <row r="4546" s="1" customFormat="1"/>
    <row r="4547" s="1" customFormat="1"/>
    <row r="4548" s="1" customFormat="1"/>
    <row r="4549" s="1" customFormat="1"/>
    <row r="4550" s="1" customFormat="1"/>
    <row r="4551" s="1" customFormat="1"/>
    <row r="4552" s="1" customFormat="1"/>
    <row r="4553" s="1" customFormat="1"/>
    <row r="4554" s="1" customFormat="1"/>
    <row r="4555" s="1" customFormat="1"/>
    <row r="4556" s="1" customFormat="1"/>
    <row r="4557" s="1" customFormat="1"/>
    <row r="4558" s="1" customFormat="1"/>
    <row r="4559" s="1" customFormat="1"/>
    <row r="4560" s="1" customFormat="1"/>
    <row r="4561" s="1" customFormat="1"/>
    <row r="4562" s="1" customFormat="1"/>
    <row r="4563" s="1" customFormat="1"/>
    <row r="4564" s="1" customFormat="1"/>
    <row r="4565" s="1" customFormat="1"/>
    <row r="4566" s="1" customFormat="1"/>
    <row r="4567" s="1" customFormat="1"/>
    <row r="4568" s="1" customFormat="1"/>
    <row r="4569" s="1" customFormat="1"/>
    <row r="4570" s="1" customFormat="1"/>
    <row r="4571" s="1" customFormat="1"/>
    <row r="4572" s="1" customFormat="1"/>
    <row r="4573" s="1" customFormat="1"/>
    <row r="4574" s="1" customFormat="1"/>
    <row r="4575" s="1" customFormat="1"/>
    <row r="4576" s="1" customFormat="1"/>
    <row r="4577" s="1" customFormat="1"/>
    <row r="4578" s="1" customFormat="1"/>
    <row r="4579" s="1" customFormat="1"/>
    <row r="4580" s="1" customFormat="1"/>
    <row r="4581" s="1" customFormat="1"/>
    <row r="4582" s="1" customFormat="1"/>
    <row r="4583" s="1" customFormat="1"/>
    <row r="4584" s="1" customFormat="1"/>
    <row r="4585" s="1" customFormat="1"/>
    <row r="4586" s="1" customFormat="1"/>
    <row r="4587" s="1" customFormat="1"/>
    <row r="4588" s="1" customFormat="1"/>
    <row r="4589" s="1" customFormat="1"/>
    <row r="4590" s="1" customFormat="1"/>
    <row r="4591" s="1" customFormat="1"/>
    <row r="4592" s="1" customFormat="1"/>
    <row r="4593" s="1" customFormat="1"/>
    <row r="4594" s="1" customFormat="1"/>
    <row r="4595" s="1" customFormat="1"/>
    <row r="4596" s="1" customFormat="1"/>
    <row r="4597" s="1" customFormat="1"/>
    <row r="4598" s="1" customFormat="1"/>
    <row r="4599" s="1" customFormat="1"/>
    <row r="4600" s="1" customFormat="1"/>
    <row r="4601" s="1" customFormat="1"/>
    <row r="4602" s="1" customFormat="1"/>
    <row r="4603" s="1" customFormat="1"/>
    <row r="4604" s="1" customFormat="1"/>
    <row r="4605" s="1" customFormat="1"/>
    <row r="4606" s="1" customFormat="1"/>
    <row r="4607" s="1" customFormat="1"/>
    <row r="4608" s="1" customFormat="1"/>
    <row r="4609" s="1" customFormat="1"/>
    <row r="4610" s="1" customFormat="1"/>
    <row r="4611" s="1" customFormat="1"/>
    <row r="4612" s="1" customFormat="1"/>
    <row r="4613" s="1" customFormat="1"/>
    <row r="4614" s="1" customFormat="1"/>
    <row r="4615" s="1" customFormat="1"/>
    <row r="4616" s="1" customFormat="1"/>
    <row r="4617" s="1" customFormat="1"/>
    <row r="4618" s="1" customFormat="1"/>
    <row r="4619" s="1" customFormat="1"/>
    <row r="4620" s="1" customFormat="1"/>
    <row r="4621" s="1" customFormat="1"/>
    <row r="4622" s="1" customFormat="1"/>
    <row r="4623" s="1" customFormat="1"/>
    <row r="4624" s="1" customFormat="1"/>
    <row r="4625" s="1" customFormat="1"/>
    <row r="4626" s="1" customFormat="1"/>
    <row r="4627" s="1" customFormat="1"/>
    <row r="4628" s="1" customFormat="1"/>
    <row r="4629" s="1" customFormat="1"/>
    <row r="4630" s="1" customFormat="1"/>
    <row r="4631" s="1" customFormat="1"/>
    <row r="4632" s="1" customFormat="1"/>
    <row r="4633" s="1" customFormat="1"/>
    <row r="4634" s="1" customFormat="1"/>
    <row r="4635" s="1" customFormat="1"/>
    <row r="4636" s="1" customFormat="1"/>
    <row r="4637" s="1" customFormat="1"/>
    <row r="4638" s="1" customFormat="1"/>
    <row r="4639" s="1" customFormat="1"/>
    <row r="4640" s="1" customFormat="1"/>
    <row r="4641" s="1" customFormat="1"/>
    <row r="4642" s="1" customFormat="1"/>
    <row r="4643" s="1" customFormat="1"/>
    <row r="4644" s="1" customFormat="1"/>
    <row r="4645" s="1" customFormat="1"/>
    <row r="4646" s="1" customFormat="1"/>
    <row r="4647" s="1" customFormat="1"/>
    <row r="4648" s="1" customFormat="1"/>
    <row r="4649" s="1" customFormat="1"/>
    <row r="4650" s="1" customFormat="1"/>
    <row r="4651" s="1" customFormat="1"/>
    <row r="4652" s="1" customFormat="1"/>
    <row r="4653" s="1" customFormat="1"/>
    <row r="4654" s="1" customFormat="1"/>
    <row r="4655" s="1" customFormat="1"/>
    <row r="4656" s="1" customFormat="1"/>
    <row r="4657" s="1" customFormat="1"/>
    <row r="4658" s="1" customFormat="1"/>
    <row r="4659" s="1" customFormat="1"/>
    <row r="4660" s="1" customFormat="1"/>
    <row r="4661" s="1" customFormat="1"/>
    <row r="4662" s="1" customFormat="1"/>
    <row r="4663" s="1" customFormat="1"/>
    <row r="4664" s="1" customFormat="1"/>
    <row r="4665" s="1" customFormat="1"/>
    <row r="4666" s="1" customFormat="1"/>
    <row r="4667" s="1" customFormat="1"/>
    <row r="4668" s="1" customFormat="1"/>
    <row r="4669" s="1" customFormat="1"/>
    <row r="4670" s="1" customFormat="1"/>
    <row r="4671" s="1" customFormat="1"/>
    <row r="4672" s="1" customFormat="1"/>
    <row r="4673" s="1" customFormat="1"/>
    <row r="4674" s="1" customFormat="1"/>
    <row r="4675" s="1" customFormat="1"/>
    <row r="4676" s="1" customFormat="1"/>
    <row r="4677" s="1" customFormat="1"/>
    <row r="4678" s="1" customFormat="1"/>
    <row r="4679" s="1" customFormat="1"/>
    <row r="4680" s="1" customFormat="1"/>
    <row r="4681" s="1" customFormat="1"/>
    <row r="4682" s="1" customFormat="1"/>
    <row r="4683" s="1" customFormat="1"/>
    <row r="4684" s="1" customFormat="1"/>
    <row r="4685" s="1" customFormat="1"/>
    <row r="4686" s="1" customFormat="1"/>
    <row r="4687" s="1" customFormat="1"/>
    <row r="4688" s="1" customFormat="1"/>
    <row r="4689" s="1" customFormat="1"/>
    <row r="4690" s="1" customFormat="1"/>
    <row r="4691" s="1" customFormat="1"/>
    <row r="4692" s="1" customFormat="1"/>
    <row r="4693" s="1" customFormat="1"/>
    <row r="4694" s="1" customFormat="1"/>
    <row r="4695" s="1" customFormat="1"/>
    <row r="4696" s="1" customFormat="1"/>
    <row r="4697" s="1" customFormat="1"/>
    <row r="4698" s="1" customFormat="1"/>
    <row r="4699" s="1" customFormat="1"/>
    <row r="4700" s="1" customFormat="1"/>
    <row r="4701" s="1" customFormat="1"/>
    <row r="4702" s="1" customFormat="1"/>
    <row r="4703" s="1" customFormat="1"/>
    <row r="4704" s="1" customFormat="1"/>
    <row r="4705" s="1" customFormat="1"/>
    <row r="4706" s="1" customFormat="1"/>
    <row r="4707" s="1" customFormat="1"/>
    <row r="4708" s="1" customFormat="1"/>
    <row r="4709" s="1" customFormat="1"/>
    <row r="4710" s="1" customFormat="1"/>
    <row r="4711" s="1" customFormat="1"/>
    <row r="4712" s="1" customFormat="1"/>
    <row r="4713" s="1" customFormat="1"/>
    <row r="4714" s="1" customFormat="1"/>
    <row r="4715" s="1" customFormat="1"/>
    <row r="4716" s="1" customFormat="1"/>
    <row r="4717" s="1" customFormat="1"/>
    <row r="4718" s="1" customFormat="1"/>
    <row r="4719" s="1" customFormat="1"/>
    <row r="4720" s="1" customFormat="1"/>
    <row r="4721" s="1" customFormat="1"/>
    <row r="4722" s="1" customFormat="1"/>
    <row r="4723" s="1" customFormat="1"/>
    <row r="4724" s="1" customFormat="1"/>
    <row r="4725" s="1" customFormat="1"/>
    <row r="4726" s="1" customFormat="1"/>
    <row r="4727" s="1" customFormat="1"/>
    <row r="4728" s="1" customFormat="1"/>
    <row r="4729" s="1" customFormat="1"/>
    <row r="4730" s="1" customFormat="1"/>
    <row r="4731" s="1" customFormat="1"/>
    <row r="4732" s="1" customFormat="1"/>
    <row r="4733" s="1" customFormat="1"/>
    <row r="4734" s="1" customFormat="1"/>
    <row r="4735" s="1" customFormat="1"/>
    <row r="4736" s="1" customFormat="1"/>
    <row r="4737" s="1" customFormat="1"/>
    <row r="4738" s="1" customFormat="1"/>
    <row r="4739" s="1" customFormat="1"/>
    <row r="4740" s="1" customFormat="1"/>
    <row r="4741" s="1" customFormat="1"/>
    <row r="4742" s="1" customFormat="1"/>
    <row r="4743" s="1" customFormat="1"/>
    <row r="4744" s="1" customFormat="1"/>
    <row r="4745" s="1" customFormat="1"/>
    <row r="4746" s="1" customFormat="1"/>
    <row r="4747" s="1" customFormat="1"/>
    <row r="4748" s="1" customFormat="1"/>
    <row r="4749" s="1" customFormat="1"/>
    <row r="4750" s="1" customFormat="1"/>
    <row r="4751" s="1" customFormat="1"/>
    <row r="4752" s="1" customFormat="1"/>
    <row r="4753" s="1" customFormat="1"/>
    <row r="4754" s="1" customFormat="1"/>
    <row r="4755" s="1" customFormat="1"/>
    <row r="4756" s="1" customFormat="1"/>
    <row r="4757" s="1" customFormat="1"/>
    <row r="4758" s="1" customFormat="1"/>
    <row r="4759" s="1" customFormat="1"/>
    <row r="4760" s="1" customFormat="1"/>
    <row r="4761" s="1" customFormat="1"/>
    <row r="4762" s="1" customFormat="1"/>
    <row r="4763" s="1" customFormat="1"/>
    <row r="4764" s="1" customFormat="1"/>
    <row r="4765" s="1" customFormat="1"/>
    <row r="4766" s="1" customFormat="1"/>
    <row r="4767" s="1" customFormat="1"/>
    <row r="4768" s="1" customFormat="1"/>
    <row r="4769" s="1" customFormat="1"/>
    <row r="4770" s="1" customFormat="1"/>
    <row r="4771" s="1" customFormat="1"/>
    <row r="4772" s="1" customFormat="1"/>
    <row r="4773" s="1" customFormat="1"/>
    <row r="4774" s="1" customFormat="1"/>
    <row r="4775" s="1" customFormat="1"/>
    <row r="4776" s="1" customFormat="1"/>
    <row r="4777" s="1" customFormat="1"/>
    <row r="4778" s="1" customFormat="1"/>
    <row r="4779" s="1" customFormat="1"/>
    <row r="4780" s="1" customFormat="1"/>
    <row r="4781" s="1" customFormat="1"/>
    <row r="4782" s="1" customFormat="1"/>
    <row r="4783" s="1" customFormat="1"/>
    <row r="4784" s="1" customFormat="1"/>
    <row r="4785" s="1" customFormat="1"/>
    <row r="4786" s="1" customFormat="1"/>
    <row r="4787" s="1" customFormat="1"/>
    <row r="4788" s="1" customFormat="1"/>
    <row r="4789" s="1" customFormat="1"/>
    <row r="4790" s="1" customFormat="1"/>
    <row r="4791" s="1" customFormat="1"/>
    <row r="4792" s="1" customFormat="1"/>
    <row r="4793" s="1" customFormat="1"/>
    <row r="4794" s="1" customFormat="1"/>
    <row r="4795" s="1" customFormat="1"/>
    <row r="4796" s="1" customFormat="1"/>
    <row r="4797" s="1" customFormat="1"/>
    <row r="4798" s="1" customFormat="1"/>
    <row r="4799" s="1" customFormat="1"/>
    <row r="4800" s="1" customFormat="1"/>
    <row r="4801" s="1" customFormat="1"/>
    <row r="4802" s="1" customFormat="1"/>
    <row r="4803" s="1" customFormat="1"/>
    <row r="4804" s="1" customFormat="1"/>
    <row r="4805" s="1" customFormat="1"/>
    <row r="4806" s="1" customFormat="1"/>
    <row r="4807" s="1" customFormat="1"/>
    <row r="4808" s="1" customFormat="1"/>
    <row r="4809" s="1" customFormat="1"/>
    <row r="4810" s="1" customFormat="1"/>
    <row r="4811" s="1" customFormat="1"/>
    <row r="4812" s="1" customFormat="1"/>
    <row r="4813" s="1" customFormat="1"/>
    <row r="4814" s="1" customFormat="1"/>
    <row r="4815" s="1" customFormat="1"/>
    <row r="4816" s="1" customFormat="1"/>
    <row r="4817" s="1" customFormat="1"/>
    <row r="4818" s="1" customFormat="1"/>
    <row r="4819" s="1" customFormat="1"/>
    <row r="4820" s="1" customFormat="1"/>
    <row r="4821" s="1" customFormat="1"/>
    <row r="4822" s="1" customFormat="1"/>
    <row r="4823" s="1" customFormat="1"/>
    <row r="4824" s="1" customFormat="1"/>
    <row r="4825" s="1" customFormat="1"/>
    <row r="4826" s="1" customFormat="1"/>
    <row r="4827" s="1" customFormat="1"/>
    <row r="4828" s="1" customFormat="1"/>
    <row r="4829" s="1" customFormat="1"/>
    <row r="4830" s="1" customFormat="1"/>
    <row r="4831" s="1" customFormat="1"/>
    <row r="4832" s="1" customFormat="1"/>
    <row r="4833" s="1" customFormat="1"/>
    <row r="4834" s="1" customFormat="1"/>
    <row r="4835" s="1" customFormat="1"/>
    <row r="4836" s="1" customFormat="1"/>
    <row r="4837" s="1" customFormat="1"/>
    <row r="4838" s="1" customFormat="1"/>
    <row r="4839" s="1" customFormat="1"/>
    <row r="4840" s="1" customFormat="1"/>
    <row r="4841" s="1" customFormat="1"/>
    <row r="4842" s="1" customFormat="1"/>
    <row r="4843" s="1" customFormat="1"/>
    <row r="4844" s="1" customFormat="1"/>
    <row r="4845" s="1" customFormat="1"/>
    <row r="4846" s="1" customFormat="1"/>
    <row r="4847" s="1" customFormat="1"/>
    <row r="4848" s="1" customFormat="1"/>
    <row r="4849" s="1" customFormat="1"/>
    <row r="4850" s="1" customFormat="1"/>
    <row r="4851" s="1" customFormat="1"/>
    <row r="4852" s="1" customFormat="1"/>
    <row r="4853" s="1" customFormat="1"/>
    <row r="4854" s="1" customFormat="1"/>
    <row r="4855" s="1" customFormat="1"/>
    <row r="4856" s="1" customFormat="1"/>
    <row r="4857" s="1" customFormat="1"/>
    <row r="4858" s="1" customFormat="1"/>
    <row r="4859" s="1" customFormat="1"/>
    <row r="4860" s="1" customFormat="1"/>
    <row r="4861" s="1" customFormat="1"/>
    <row r="4862" s="1" customFormat="1"/>
    <row r="4863" s="1" customFormat="1"/>
    <row r="4864" s="1" customFormat="1"/>
    <row r="4865" s="1" customFormat="1"/>
    <row r="4866" s="1" customFormat="1"/>
    <row r="4867" s="1" customFormat="1"/>
    <row r="4868" s="1" customFormat="1"/>
    <row r="4869" s="1" customFormat="1"/>
    <row r="4870" s="1" customFormat="1"/>
    <row r="4871" s="1" customFormat="1"/>
    <row r="4872" s="1" customFormat="1"/>
    <row r="4873" s="1" customFormat="1"/>
    <row r="4874" s="1" customFormat="1"/>
    <row r="4875" s="1" customFormat="1"/>
    <row r="4876" s="1" customFormat="1"/>
    <row r="4877" s="1" customFormat="1"/>
    <row r="4878" s="1" customFormat="1"/>
    <row r="4879" s="1" customFormat="1"/>
    <row r="4880" s="1" customFormat="1"/>
    <row r="4881" s="1" customFormat="1"/>
    <row r="4882" s="1" customFormat="1"/>
    <row r="4883" s="1" customFormat="1"/>
    <row r="4884" s="1" customFormat="1"/>
    <row r="4885" s="1" customFormat="1"/>
    <row r="4886" s="1" customFormat="1"/>
    <row r="4887" s="1" customFormat="1"/>
    <row r="4888" s="1" customFormat="1"/>
    <row r="4889" s="1" customFormat="1"/>
    <row r="4890" s="1" customFormat="1"/>
    <row r="4891" s="1" customFormat="1"/>
    <row r="4892" s="1" customFormat="1"/>
    <row r="4893" s="1" customFormat="1"/>
    <row r="4894" s="1" customFormat="1"/>
    <row r="4895" s="1" customFormat="1"/>
    <row r="4896" s="1" customFormat="1"/>
    <row r="4897" s="1" customFormat="1"/>
    <row r="4898" s="1" customFormat="1"/>
    <row r="4899" s="1" customFormat="1"/>
    <row r="4900" s="1" customFormat="1"/>
    <row r="4901" s="1" customFormat="1"/>
    <row r="4902" s="1" customFormat="1"/>
    <row r="4903" s="1" customFormat="1"/>
    <row r="4904" s="1" customFormat="1"/>
    <row r="4905" s="1" customFormat="1"/>
    <row r="4906" s="1" customFormat="1"/>
    <row r="4907" s="1" customFormat="1"/>
    <row r="4908" s="1" customFormat="1"/>
    <row r="4909" s="1" customFormat="1"/>
    <row r="4910" s="1" customFormat="1"/>
    <row r="4911" s="1" customFormat="1"/>
    <row r="4912" s="1" customFormat="1"/>
    <row r="4913" s="1" customFormat="1"/>
    <row r="4914" s="1" customFormat="1"/>
    <row r="4915" s="1" customFormat="1"/>
    <row r="4916" s="1" customFormat="1"/>
    <row r="4917" s="1" customFormat="1"/>
    <row r="4918" s="1" customFormat="1"/>
    <row r="4919" s="1" customFormat="1"/>
    <row r="4920" s="1" customFormat="1"/>
    <row r="4921" s="1" customFormat="1"/>
    <row r="4922" s="1" customFormat="1"/>
    <row r="4923" s="1" customFormat="1"/>
    <row r="4924" s="1" customFormat="1"/>
    <row r="4925" s="1" customFormat="1"/>
    <row r="4926" s="1" customFormat="1"/>
    <row r="4927" s="1" customFormat="1"/>
    <row r="4928" s="1" customFormat="1"/>
    <row r="4929" s="1" customFormat="1"/>
    <row r="4930" s="1" customFormat="1"/>
    <row r="4931" s="1" customFormat="1"/>
    <row r="4932" s="1" customFormat="1"/>
    <row r="4933" s="1" customFormat="1"/>
    <row r="4934" s="1" customFormat="1"/>
    <row r="4935" s="1" customFormat="1"/>
    <row r="4936" s="1" customFormat="1"/>
    <row r="4937" s="1" customFormat="1"/>
    <row r="4938" s="1" customFormat="1"/>
    <row r="4939" s="1" customFormat="1"/>
    <row r="4940" s="1" customFormat="1"/>
    <row r="4941" s="1" customFormat="1"/>
    <row r="4942" s="1" customFormat="1"/>
    <row r="4943" s="1" customFormat="1"/>
    <row r="4944" s="1" customFormat="1"/>
    <row r="4945" s="1" customFormat="1"/>
    <row r="4946" s="1" customFormat="1"/>
    <row r="4947" s="1" customFormat="1"/>
    <row r="4948" s="1" customFormat="1"/>
    <row r="4949" s="1" customFormat="1"/>
    <row r="4950" s="1" customFormat="1"/>
    <row r="4951" s="1" customFormat="1"/>
    <row r="4952" s="1" customFormat="1"/>
    <row r="4953" s="1" customFormat="1"/>
    <row r="4954" s="1" customFormat="1"/>
    <row r="4955" s="1" customFormat="1"/>
    <row r="4956" s="1" customFormat="1"/>
    <row r="4957" s="1" customFormat="1"/>
    <row r="4958" s="1" customFormat="1"/>
    <row r="4959" s="1" customFormat="1"/>
    <row r="4960" s="1" customFormat="1"/>
    <row r="4961" s="1" customFormat="1"/>
    <row r="4962" s="1" customFormat="1"/>
    <row r="4963" s="1" customFormat="1"/>
    <row r="4964" s="1" customFormat="1"/>
    <row r="4965" s="1" customFormat="1"/>
    <row r="4966" s="1" customFormat="1"/>
    <row r="4967" s="1" customFormat="1"/>
    <row r="4968" s="1" customFormat="1"/>
    <row r="4969" s="1" customFormat="1"/>
    <row r="4970" s="1" customFormat="1"/>
    <row r="4971" s="1" customFormat="1"/>
    <row r="4972" s="1" customFormat="1"/>
    <row r="4973" s="1" customFormat="1"/>
    <row r="4974" s="1" customFormat="1"/>
    <row r="4975" s="1" customFormat="1"/>
    <row r="4976" s="1" customFormat="1"/>
    <row r="4977" s="1" customFormat="1"/>
    <row r="4978" s="1" customFormat="1"/>
    <row r="4979" s="1" customFormat="1"/>
    <row r="4980" s="1" customFormat="1"/>
    <row r="4981" s="1" customFormat="1"/>
    <row r="4982" s="1" customFormat="1"/>
    <row r="4983" s="1" customFormat="1"/>
    <row r="4984" s="1" customFormat="1"/>
    <row r="4985" s="1" customFormat="1"/>
    <row r="4986" s="1" customFormat="1"/>
    <row r="4987" s="1" customFormat="1"/>
    <row r="4988" s="1" customFormat="1"/>
    <row r="4989" s="1" customFormat="1"/>
    <row r="4990" s="1" customFormat="1"/>
    <row r="4991" s="1" customFormat="1"/>
    <row r="4992" s="1" customFormat="1"/>
    <row r="4993" s="1" customFormat="1"/>
    <row r="4994" s="1" customFormat="1"/>
    <row r="4995" s="1" customFormat="1"/>
    <row r="4996" s="1" customFormat="1"/>
    <row r="4997" s="1" customFormat="1"/>
    <row r="4998" s="1" customFormat="1"/>
    <row r="4999" s="1" customFormat="1"/>
    <row r="5000" s="1" customFormat="1"/>
    <row r="5001" s="1" customFormat="1"/>
    <row r="5002" s="1" customFormat="1"/>
    <row r="5003" s="1" customFormat="1"/>
    <row r="5004" s="1" customFormat="1"/>
    <row r="5005" s="1" customFormat="1"/>
    <row r="5006" s="1" customFormat="1"/>
    <row r="5007" s="1" customFormat="1"/>
    <row r="5008" s="1" customFormat="1"/>
    <row r="5009" s="1" customFormat="1"/>
    <row r="5010" s="1" customFormat="1"/>
    <row r="5011" s="1" customFormat="1"/>
    <row r="5012" s="1" customFormat="1"/>
    <row r="5013" s="1" customFormat="1"/>
    <row r="5014" s="1" customFormat="1"/>
    <row r="5015" s="1" customFormat="1"/>
    <row r="5016" s="1" customFormat="1"/>
    <row r="5017" s="1" customFormat="1"/>
    <row r="5018" s="1" customFormat="1"/>
    <row r="5019" s="1" customFormat="1"/>
    <row r="5020" s="1" customFormat="1"/>
    <row r="5021" s="1" customFormat="1"/>
    <row r="5022" s="1" customFormat="1"/>
    <row r="5023" s="1" customFormat="1"/>
    <row r="5024" s="1" customFormat="1"/>
    <row r="5025" s="1" customFormat="1"/>
    <row r="5026" s="1" customFormat="1"/>
    <row r="5027" s="1" customFormat="1"/>
    <row r="5028" s="1" customFormat="1"/>
    <row r="5029" s="1" customFormat="1"/>
    <row r="5030" s="1" customFormat="1"/>
    <row r="5031" s="1" customFormat="1"/>
    <row r="5032" s="1" customFormat="1"/>
    <row r="5033" s="1" customFormat="1"/>
    <row r="5034" s="1" customFormat="1"/>
    <row r="5035" s="1" customFormat="1"/>
    <row r="5036" s="1" customFormat="1"/>
    <row r="5037" s="1" customFormat="1"/>
    <row r="5038" s="1" customFormat="1"/>
    <row r="5039" s="1" customFormat="1"/>
    <row r="5040" s="1" customFormat="1"/>
    <row r="5041" s="1" customFormat="1"/>
    <row r="5042" s="1" customFormat="1"/>
    <row r="5043" s="1" customFormat="1"/>
    <row r="5044" s="1" customFormat="1"/>
    <row r="5045" s="1" customFormat="1"/>
    <row r="5046" s="1" customFormat="1"/>
    <row r="5047" s="1" customFormat="1"/>
    <row r="5048" s="1" customFormat="1"/>
    <row r="5049" s="1" customFormat="1"/>
    <row r="5050" s="1" customFormat="1"/>
    <row r="5051" s="1" customFormat="1"/>
    <row r="5052" s="1" customFormat="1"/>
    <row r="5053" s="1" customFormat="1"/>
    <row r="5054" s="1" customFormat="1"/>
    <row r="5055" s="1" customFormat="1"/>
    <row r="5056" s="1" customFormat="1"/>
    <row r="5057" s="1" customFormat="1"/>
    <row r="5058" s="1" customFormat="1"/>
    <row r="5059" s="1" customFormat="1"/>
    <row r="5060" s="1" customFormat="1"/>
    <row r="5061" s="1" customFormat="1"/>
    <row r="5062" s="1" customFormat="1"/>
    <row r="5063" s="1" customFormat="1"/>
    <row r="5064" s="1" customFormat="1"/>
    <row r="5065" s="1" customFormat="1"/>
    <row r="5066" s="1" customFormat="1"/>
    <row r="5067" s="1" customFormat="1"/>
    <row r="5068" s="1" customFormat="1"/>
    <row r="5069" s="1" customFormat="1"/>
    <row r="5070" s="1" customFormat="1"/>
    <row r="5071" s="1" customFormat="1"/>
    <row r="5072" s="1" customFormat="1"/>
    <row r="5073" s="1" customFormat="1"/>
    <row r="5074" s="1" customFormat="1"/>
    <row r="5075" s="1" customFormat="1"/>
    <row r="5076" s="1" customFormat="1"/>
    <row r="5077" s="1" customFormat="1"/>
    <row r="5078" s="1" customFormat="1"/>
    <row r="5079" s="1" customFormat="1"/>
    <row r="5080" s="1" customFormat="1"/>
    <row r="5081" s="1" customFormat="1"/>
    <row r="5082" s="1" customFormat="1"/>
    <row r="5083" s="1" customFormat="1"/>
    <row r="5084" s="1" customFormat="1"/>
    <row r="5085" s="1" customFormat="1"/>
    <row r="5086" s="1" customFormat="1"/>
    <row r="5087" s="1" customFormat="1"/>
    <row r="5088" s="1" customFormat="1"/>
    <row r="5089" s="1" customFormat="1"/>
    <row r="5090" s="1" customFormat="1"/>
    <row r="5091" s="1" customFormat="1"/>
    <row r="5092" s="1" customFormat="1"/>
    <row r="5093" s="1" customFormat="1"/>
    <row r="5094" s="1" customFormat="1"/>
    <row r="5095" s="1" customFormat="1"/>
    <row r="5096" s="1" customFormat="1"/>
    <row r="5097" s="1" customFormat="1"/>
    <row r="5098" s="1" customFormat="1"/>
    <row r="5099" s="1" customFormat="1"/>
    <row r="5100" s="1" customFormat="1"/>
    <row r="5101" s="1" customFormat="1"/>
    <row r="5102" s="1" customFormat="1"/>
    <row r="5103" s="1" customFormat="1"/>
    <row r="5104" s="1" customFormat="1"/>
    <row r="5105" s="1" customFormat="1"/>
    <row r="5106" s="1" customFormat="1"/>
    <row r="5107" s="1" customFormat="1"/>
    <row r="5108" s="1" customFormat="1"/>
    <row r="5109" s="1" customFormat="1"/>
    <row r="5110" s="1" customFormat="1"/>
    <row r="5111" s="1" customFormat="1"/>
    <row r="5112" s="1" customFormat="1"/>
    <row r="5113" s="1" customFormat="1"/>
    <row r="5114" s="1" customFormat="1"/>
    <row r="5115" s="1" customFormat="1"/>
    <row r="5116" s="1" customFormat="1"/>
    <row r="5117" s="1" customFormat="1"/>
    <row r="5118" s="1" customFormat="1"/>
    <row r="5119" s="1" customFormat="1"/>
    <row r="5120" s="1" customFormat="1"/>
    <row r="5121" s="1" customFormat="1"/>
    <row r="5122" s="1" customFormat="1"/>
    <row r="5123" s="1" customFormat="1"/>
    <row r="5124" s="1" customFormat="1"/>
    <row r="5125" s="1" customFormat="1"/>
    <row r="5126" s="1" customFormat="1"/>
    <row r="5127" s="1" customFormat="1"/>
    <row r="5128" s="1" customFormat="1"/>
    <row r="5129" s="1" customFormat="1"/>
    <row r="5130" s="1" customFormat="1"/>
    <row r="5131" s="1" customFormat="1"/>
    <row r="5132" s="1" customFormat="1"/>
    <row r="5133" s="1" customFormat="1"/>
    <row r="5134" s="1" customFormat="1"/>
    <row r="5135" s="1" customFormat="1"/>
    <row r="5136" s="1" customFormat="1"/>
    <row r="5137" s="1" customFormat="1"/>
    <row r="5138" s="1" customFormat="1"/>
    <row r="5139" s="1" customFormat="1"/>
    <row r="5140" s="1" customFormat="1"/>
    <row r="5141" s="1" customFormat="1"/>
    <row r="5142" s="1" customFormat="1"/>
    <row r="5143" s="1" customFormat="1"/>
    <row r="5144" s="1" customFormat="1"/>
    <row r="5145" s="1" customFormat="1"/>
    <row r="5146" s="1" customFormat="1"/>
    <row r="5147" s="1" customFormat="1"/>
    <row r="5148" s="1" customFormat="1"/>
    <row r="5149" s="1" customFormat="1"/>
    <row r="5150" s="1" customFormat="1"/>
    <row r="5151" s="1" customFormat="1"/>
    <row r="5152" s="1" customFormat="1"/>
    <row r="5153" s="1" customFormat="1"/>
    <row r="5154" s="1" customFormat="1"/>
    <row r="5155" s="1" customFormat="1"/>
    <row r="5156" s="1" customFormat="1"/>
    <row r="5157" s="1" customFormat="1"/>
    <row r="5158" s="1" customFormat="1"/>
    <row r="5159" s="1" customFormat="1"/>
    <row r="5160" s="1" customFormat="1"/>
    <row r="5161" s="1" customFormat="1"/>
    <row r="5162" s="1" customFormat="1"/>
    <row r="5163" s="1" customFormat="1"/>
    <row r="5164" s="1" customFormat="1"/>
    <row r="5165" s="1" customFormat="1"/>
    <row r="5166" s="1" customFormat="1"/>
    <row r="5167" s="1" customFormat="1"/>
    <row r="5168" s="1" customFormat="1"/>
    <row r="5169" s="1" customFormat="1"/>
    <row r="5170" s="1" customFormat="1"/>
    <row r="5171" s="1" customFormat="1"/>
    <row r="5172" s="1" customFormat="1"/>
    <row r="5173" s="1" customFormat="1"/>
    <row r="5174" s="1" customFormat="1"/>
    <row r="5175" s="1" customFormat="1"/>
    <row r="5176" s="1" customFormat="1"/>
    <row r="5177" s="1" customFormat="1"/>
    <row r="5178" s="1" customFormat="1"/>
    <row r="5179" s="1" customFormat="1"/>
    <row r="5180" s="1" customFormat="1"/>
    <row r="5181" s="1" customFormat="1"/>
    <row r="5182" s="1" customFormat="1"/>
    <row r="5183" s="1" customFormat="1"/>
    <row r="5184" s="1" customFormat="1"/>
    <row r="5185" s="1" customFormat="1"/>
    <row r="5186" s="1" customFormat="1"/>
    <row r="5187" s="1" customFormat="1"/>
    <row r="5188" s="1" customFormat="1"/>
    <row r="5189" s="1" customFormat="1"/>
    <row r="5190" s="1" customFormat="1"/>
    <row r="5191" s="1" customFormat="1"/>
    <row r="5192" s="1" customFormat="1"/>
    <row r="5193" s="1" customFormat="1"/>
    <row r="5194" s="1" customFormat="1"/>
    <row r="5195" s="1" customFormat="1"/>
    <row r="5196" s="1" customFormat="1"/>
    <row r="5197" s="1" customFormat="1"/>
    <row r="5198" s="1" customFormat="1"/>
    <row r="5199" s="1" customFormat="1"/>
    <row r="5200" s="1" customFormat="1"/>
    <row r="5201" s="1" customFormat="1"/>
    <row r="5202" s="1" customFormat="1"/>
    <row r="5203" s="1" customFormat="1"/>
    <row r="5204" s="1" customFormat="1"/>
    <row r="5205" s="1" customFormat="1"/>
    <row r="5206" s="1" customFormat="1"/>
    <row r="5207" s="1" customFormat="1"/>
    <row r="5208" s="1" customFormat="1"/>
    <row r="5209" s="1" customFormat="1"/>
    <row r="5210" s="1" customFormat="1"/>
    <row r="5211" s="1" customFormat="1"/>
    <row r="5212" s="1" customFormat="1"/>
    <row r="5213" s="1" customFormat="1"/>
    <row r="5214" s="1" customFormat="1"/>
    <row r="5215" s="1" customFormat="1"/>
    <row r="5216" s="1" customFormat="1"/>
    <row r="5217" s="1" customFormat="1"/>
    <row r="5218" s="1" customFormat="1"/>
    <row r="5219" s="1" customFormat="1"/>
    <row r="5220" s="1" customFormat="1"/>
    <row r="5221" s="1" customFormat="1"/>
    <row r="5222" s="1" customFormat="1"/>
    <row r="5223" s="1" customFormat="1"/>
    <row r="5224" s="1" customFormat="1"/>
    <row r="5225" s="1" customFormat="1"/>
    <row r="5226" s="1" customFormat="1"/>
    <row r="5227" s="1" customFormat="1"/>
    <row r="5228" s="1" customFormat="1"/>
    <row r="5229" s="1" customFormat="1"/>
    <row r="5230" s="1" customFormat="1"/>
    <row r="5231" s="1" customFormat="1"/>
    <row r="5232" s="1" customFormat="1"/>
    <row r="5233" s="1" customFormat="1"/>
    <row r="5234" s="1" customFormat="1"/>
    <row r="5235" s="1" customFormat="1"/>
    <row r="5236" s="1" customFormat="1"/>
    <row r="5237" s="1" customFormat="1"/>
    <row r="5238" s="1" customFormat="1"/>
    <row r="5239" s="1" customFormat="1"/>
    <row r="5240" s="1" customFormat="1"/>
    <row r="5241" s="1" customFormat="1"/>
    <row r="5242" s="1" customFormat="1"/>
    <row r="5243" s="1" customFormat="1"/>
    <row r="5244" s="1" customFormat="1"/>
    <row r="5245" s="1" customFormat="1"/>
    <row r="5246" s="1" customFormat="1"/>
    <row r="5247" s="1" customFormat="1"/>
    <row r="5248" s="1" customFormat="1"/>
    <row r="5249" s="1" customFormat="1"/>
    <row r="5250" s="1" customFormat="1"/>
    <row r="5251" s="1" customFormat="1"/>
    <row r="5252" s="1" customFormat="1"/>
    <row r="5253" s="1" customFormat="1"/>
    <row r="5254" s="1" customFormat="1"/>
    <row r="5255" s="1" customFormat="1"/>
    <row r="5256" s="1" customFormat="1"/>
    <row r="5257" s="1" customFormat="1"/>
    <row r="5258" s="1" customFormat="1"/>
    <row r="5259" s="1" customFormat="1"/>
    <row r="5260" s="1" customFormat="1"/>
    <row r="5261" s="1" customFormat="1"/>
    <row r="5262" s="1" customFormat="1"/>
    <row r="5263" s="1" customFormat="1"/>
    <row r="5264" s="1" customFormat="1"/>
    <row r="5265" s="1" customFormat="1"/>
    <row r="5266" s="1" customFormat="1"/>
    <row r="5267" s="1" customFormat="1"/>
    <row r="5268" s="1" customFormat="1"/>
    <row r="5269" s="1" customFormat="1"/>
    <row r="5270" s="1" customFormat="1"/>
    <row r="5271" s="1" customFormat="1"/>
    <row r="5272" s="1" customFormat="1"/>
    <row r="5273" s="1" customFormat="1"/>
    <row r="5274" s="1" customFormat="1"/>
    <row r="5275" s="1" customFormat="1"/>
    <row r="5276" s="1" customFormat="1"/>
    <row r="5277" s="1" customFormat="1"/>
    <row r="5278" s="1" customFormat="1"/>
    <row r="5279" s="1" customFormat="1"/>
    <row r="5280" s="1" customFormat="1"/>
    <row r="5281" s="1" customFormat="1"/>
    <row r="5282" s="1" customFormat="1"/>
    <row r="5283" s="1" customFormat="1"/>
    <row r="5284" s="1" customFormat="1"/>
    <row r="5285" s="1" customFormat="1"/>
    <row r="5286" s="1" customFormat="1"/>
    <row r="5287" s="1" customFormat="1"/>
    <row r="5288" s="1" customFormat="1"/>
    <row r="5289" s="1" customFormat="1"/>
    <row r="5290" s="1" customFormat="1"/>
    <row r="5291" s="1" customFormat="1"/>
    <row r="5292" s="1" customFormat="1"/>
    <row r="5293" s="1" customFormat="1"/>
    <row r="5294" s="1" customFormat="1"/>
    <row r="5295" s="1" customFormat="1"/>
    <row r="5296" s="1" customFormat="1"/>
    <row r="5297" s="1" customFormat="1"/>
    <row r="5298" s="1" customFormat="1"/>
    <row r="5299" s="1" customFormat="1"/>
    <row r="5300" s="1" customFormat="1"/>
    <row r="5301" s="1" customFormat="1"/>
    <row r="5302" s="1" customFormat="1"/>
    <row r="5303" s="1" customFormat="1"/>
    <row r="5304" s="1" customFormat="1"/>
    <row r="5305" s="1" customFormat="1"/>
    <row r="5306" s="1" customFormat="1"/>
    <row r="5307" s="1" customFormat="1"/>
    <row r="5308" s="1" customFormat="1"/>
    <row r="5309" s="1" customFormat="1"/>
    <row r="5310" s="1" customFormat="1"/>
    <row r="5311" s="1" customFormat="1"/>
    <row r="5312" s="1" customFormat="1"/>
    <row r="5313" s="1" customFormat="1"/>
    <row r="5314" s="1" customFormat="1"/>
    <row r="5315" s="1" customFormat="1"/>
    <row r="5316" s="1" customFormat="1"/>
    <row r="5317" s="1" customFormat="1"/>
    <row r="5318" s="1" customFormat="1"/>
    <row r="5319" s="1" customFormat="1"/>
    <row r="5320" s="1" customFormat="1"/>
    <row r="5321" s="1" customFormat="1"/>
    <row r="5322" s="1" customFormat="1"/>
    <row r="5323" s="1" customFormat="1"/>
    <row r="5324" s="1" customFormat="1"/>
    <row r="5325" s="1" customFormat="1"/>
    <row r="5326" s="1" customFormat="1"/>
    <row r="5327" s="1" customFormat="1"/>
    <row r="5328" s="1" customFormat="1"/>
    <row r="5329" s="1" customFormat="1"/>
    <row r="5330" s="1" customFormat="1"/>
    <row r="5331" s="1" customFormat="1"/>
    <row r="5332" s="1" customFormat="1"/>
    <row r="5333" s="1" customFormat="1"/>
    <row r="5334" s="1" customFormat="1"/>
    <row r="5335" s="1" customFormat="1"/>
    <row r="5336" s="1" customFormat="1"/>
    <row r="5337" s="1" customFormat="1"/>
    <row r="5338" s="1" customFormat="1"/>
    <row r="5339" s="1" customFormat="1"/>
    <row r="5340" s="1" customFormat="1"/>
    <row r="5341" s="1" customFormat="1"/>
    <row r="5342" s="1" customFormat="1"/>
    <row r="5343" s="1" customFormat="1"/>
    <row r="5344" s="1" customFormat="1"/>
    <row r="5345" s="1" customFormat="1"/>
    <row r="5346" s="1" customFormat="1"/>
    <row r="5347" s="1" customFormat="1"/>
    <row r="5348" s="1" customFormat="1"/>
    <row r="5349" s="1" customFormat="1"/>
    <row r="5350" s="1" customFormat="1"/>
    <row r="5351" s="1" customFormat="1"/>
    <row r="5352" s="1" customFormat="1"/>
    <row r="5353" s="1" customFormat="1"/>
    <row r="5354" s="1" customFormat="1"/>
    <row r="5355" s="1" customFormat="1"/>
    <row r="5356" s="1" customFormat="1"/>
    <row r="5357" s="1" customFormat="1"/>
    <row r="5358" s="1" customFormat="1"/>
    <row r="5359" s="1" customFormat="1"/>
    <row r="5360" s="1" customFormat="1"/>
    <row r="5361" s="1" customFormat="1"/>
    <row r="5362" s="1" customFormat="1"/>
    <row r="5363" s="1" customFormat="1"/>
    <row r="5364" s="1" customFormat="1"/>
    <row r="5365" s="1" customFormat="1"/>
    <row r="5366" s="1" customFormat="1"/>
    <row r="5367" s="1" customFormat="1"/>
    <row r="5368" s="1" customFormat="1"/>
    <row r="5369" s="1" customFormat="1"/>
    <row r="5370" s="1" customFormat="1"/>
    <row r="5371" s="1" customFormat="1"/>
    <row r="5372" s="1" customFormat="1"/>
    <row r="5373" s="1" customFormat="1"/>
    <row r="5374" s="1" customFormat="1"/>
    <row r="5375" s="1" customFormat="1"/>
    <row r="5376" s="1" customFormat="1"/>
    <row r="5377" s="1" customFormat="1"/>
    <row r="5378" s="1" customFormat="1"/>
    <row r="5379" s="1" customFormat="1"/>
    <row r="5380" s="1" customFormat="1"/>
    <row r="5381" s="1" customFormat="1"/>
    <row r="5382" s="1" customFormat="1"/>
    <row r="5383" s="1" customFormat="1"/>
    <row r="5384" s="1" customFormat="1"/>
    <row r="5385" s="1" customFormat="1"/>
    <row r="5386" s="1" customFormat="1"/>
    <row r="5387" s="1" customFormat="1"/>
    <row r="5388" s="1" customFormat="1"/>
    <row r="5389" s="1" customFormat="1"/>
    <row r="5390" s="1" customFormat="1"/>
    <row r="5391" s="1" customFormat="1"/>
    <row r="5392" s="1" customFormat="1"/>
    <row r="5393" s="1" customFormat="1"/>
    <row r="5394" s="1" customFormat="1"/>
    <row r="5395" s="1" customFormat="1"/>
    <row r="5396" s="1" customFormat="1"/>
    <row r="5397" s="1" customFormat="1"/>
    <row r="5398" s="1" customFormat="1"/>
    <row r="5399" s="1" customFormat="1"/>
    <row r="5400" s="1" customFormat="1"/>
    <row r="5401" s="1" customFormat="1"/>
    <row r="5402" s="1" customFormat="1"/>
    <row r="5403" s="1" customFormat="1"/>
    <row r="5404" s="1" customFormat="1"/>
    <row r="5405" s="1" customFormat="1"/>
    <row r="5406" s="1" customFormat="1"/>
    <row r="5407" s="1" customFormat="1"/>
    <row r="5408" s="1" customFormat="1"/>
    <row r="5409" s="1" customFormat="1"/>
    <row r="5410" s="1" customFormat="1"/>
    <row r="5411" s="1" customFormat="1"/>
    <row r="5412" s="1" customFormat="1"/>
    <row r="5413" s="1" customFormat="1"/>
    <row r="5414" s="1" customFormat="1"/>
    <row r="5415" s="1" customFormat="1"/>
    <row r="5416" s="1" customFormat="1"/>
    <row r="5417" s="1" customFormat="1"/>
    <row r="5418" s="1" customFormat="1"/>
    <row r="5419" s="1" customFormat="1"/>
    <row r="5420" s="1" customFormat="1"/>
    <row r="5421" s="1" customFormat="1"/>
    <row r="5422" s="1" customFormat="1"/>
    <row r="5423" s="1" customFormat="1"/>
    <row r="5424" s="1" customFormat="1"/>
    <row r="5425" s="1" customFormat="1"/>
    <row r="5426" s="1" customFormat="1"/>
    <row r="5427" s="1" customFormat="1"/>
    <row r="5428" s="1" customFormat="1"/>
    <row r="5429" s="1" customFormat="1"/>
    <row r="5430" s="1" customFormat="1"/>
    <row r="5431" s="1" customFormat="1"/>
    <row r="5432" s="1" customFormat="1"/>
    <row r="5433" s="1" customFormat="1"/>
    <row r="5434" s="1" customFormat="1"/>
    <row r="5435" s="1" customFormat="1"/>
    <row r="5436" s="1" customFormat="1"/>
    <row r="5437" s="1" customFormat="1"/>
    <row r="5438" s="1" customFormat="1"/>
    <row r="5439" s="1" customFormat="1"/>
    <row r="5440" s="1" customFormat="1"/>
    <row r="5441" s="1" customFormat="1"/>
    <row r="5442" s="1" customFormat="1"/>
    <row r="5443" s="1" customFormat="1"/>
    <row r="5444" s="1" customFormat="1"/>
    <row r="5445" s="1" customFormat="1"/>
    <row r="5446" s="1" customFormat="1"/>
    <row r="5447" s="1" customFormat="1"/>
    <row r="5448" s="1" customFormat="1"/>
    <row r="5449" s="1" customFormat="1"/>
    <row r="5450" s="1" customFormat="1"/>
    <row r="5451" s="1" customFormat="1"/>
    <row r="5452" s="1" customFormat="1"/>
    <row r="5453" s="1" customFormat="1"/>
    <row r="5454" s="1" customFormat="1"/>
    <row r="5455" s="1" customFormat="1"/>
    <row r="5456" s="1" customFormat="1"/>
    <row r="5457" s="1" customFormat="1"/>
    <row r="5458" s="1" customFormat="1"/>
    <row r="5459" s="1" customFormat="1"/>
    <row r="5460" s="1" customFormat="1"/>
    <row r="5461" s="1" customFormat="1"/>
    <row r="5462" s="1" customFormat="1"/>
    <row r="5463" s="1" customFormat="1"/>
    <row r="5464" s="1" customFormat="1"/>
    <row r="5465" s="1" customFormat="1"/>
    <row r="5466" s="1" customFormat="1"/>
    <row r="5467" s="1" customFormat="1"/>
    <row r="5468" s="1" customFormat="1"/>
    <row r="5469" s="1" customFormat="1"/>
    <row r="5470" s="1" customFormat="1"/>
    <row r="5471" s="1" customFormat="1"/>
    <row r="5472" s="1" customFormat="1"/>
    <row r="5473" s="1" customFormat="1"/>
    <row r="5474" s="1" customFormat="1"/>
    <row r="5475" s="1" customFormat="1"/>
    <row r="5476" s="1" customFormat="1"/>
    <row r="5477" s="1" customFormat="1"/>
    <row r="5478" s="1" customFormat="1"/>
    <row r="5479" s="1" customFormat="1"/>
    <row r="5480" s="1" customFormat="1"/>
    <row r="5481" s="1" customFormat="1"/>
    <row r="5482" s="1" customFormat="1"/>
    <row r="5483" s="1" customFormat="1"/>
    <row r="5484" s="1" customFormat="1"/>
    <row r="5485" s="1" customFormat="1"/>
    <row r="5486" s="1" customFormat="1"/>
    <row r="5487" s="1" customFormat="1"/>
    <row r="5488" s="1" customFormat="1"/>
    <row r="5489" s="1" customFormat="1"/>
    <row r="5490" s="1" customFormat="1"/>
    <row r="5491" s="1" customFormat="1"/>
    <row r="5492" s="1" customFormat="1"/>
    <row r="5493" s="1" customFormat="1"/>
    <row r="5494" s="1" customFormat="1"/>
    <row r="5495" s="1" customFormat="1"/>
    <row r="5496" s="1" customFormat="1"/>
    <row r="5497" s="1" customFormat="1"/>
    <row r="5498" s="1" customFormat="1"/>
    <row r="5499" s="1" customFormat="1"/>
    <row r="5500" s="1" customFormat="1"/>
    <row r="5501" s="1" customFormat="1"/>
    <row r="5502" s="1" customFormat="1"/>
    <row r="5503" s="1" customFormat="1"/>
    <row r="5504" s="1" customFormat="1"/>
    <row r="5505" s="1" customFormat="1"/>
    <row r="5506" s="1" customFormat="1"/>
    <row r="5507" s="1" customFormat="1"/>
    <row r="5508" s="1" customFormat="1"/>
    <row r="5509" s="1" customFormat="1"/>
    <row r="5510" s="1" customFormat="1"/>
    <row r="5511" s="1" customFormat="1"/>
    <row r="5512" s="1" customFormat="1"/>
    <row r="5513" s="1" customFormat="1"/>
    <row r="5514" s="1" customFormat="1"/>
    <row r="5515" s="1" customFormat="1"/>
    <row r="5516" s="1" customFormat="1"/>
    <row r="5517" s="1" customFormat="1"/>
    <row r="5518" s="1" customFormat="1"/>
    <row r="5519" s="1" customFormat="1"/>
    <row r="5520" s="1" customFormat="1"/>
    <row r="5521" s="1" customFormat="1"/>
    <row r="5522" s="1" customFormat="1"/>
    <row r="5523" s="1" customFormat="1"/>
    <row r="5524" s="1" customFormat="1"/>
    <row r="5525" s="1" customFormat="1"/>
    <row r="5526" s="1" customFormat="1"/>
    <row r="5527" s="1" customFormat="1"/>
    <row r="5528" s="1" customFormat="1"/>
    <row r="5529" s="1" customFormat="1"/>
    <row r="5530" s="1" customFormat="1"/>
    <row r="5531" s="1" customFormat="1"/>
    <row r="5532" s="1" customFormat="1"/>
    <row r="5533" s="1" customFormat="1"/>
    <row r="5534" s="1" customFormat="1"/>
    <row r="5535" s="1" customFormat="1"/>
    <row r="5536" s="1" customFormat="1"/>
    <row r="5537" s="1" customFormat="1"/>
    <row r="5538" s="1" customFormat="1"/>
    <row r="5539" s="1" customFormat="1"/>
    <row r="5540" s="1" customFormat="1"/>
    <row r="5541" s="1" customFormat="1"/>
    <row r="5542" s="1" customFormat="1"/>
    <row r="5543" s="1" customFormat="1"/>
    <row r="5544" s="1" customFormat="1"/>
    <row r="5545" s="1" customFormat="1"/>
    <row r="5546" s="1" customFormat="1"/>
    <row r="5547" s="1" customFormat="1"/>
    <row r="5548" s="1" customFormat="1"/>
    <row r="5549" s="1" customFormat="1"/>
    <row r="5550" s="1" customFormat="1"/>
    <row r="5551" s="1" customFormat="1"/>
    <row r="5552" s="1" customFormat="1"/>
    <row r="5553" s="1" customFormat="1"/>
    <row r="5554" s="1" customFormat="1"/>
    <row r="5555" s="1" customFormat="1"/>
    <row r="5556" s="1" customFormat="1"/>
    <row r="5557" s="1" customFormat="1"/>
    <row r="5558" s="1" customFormat="1"/>
    <row r="5559" s="1" customFormat="1"/>
    <row r="5560" s="1" customFormat="1"/>
    <row r="5561" s="1" customFormat="1"/>
    <row r="5562" s="1" customFormat="1"/>
    <row r="5563" s="1" customFormat="1"/>
    <row r="5564" s="1" customFormat="1"/>
    <row r="5565" s="1" customFormat="1"/>
    <row r="5566" s="1" customFormat="1"/>
    <row r="5567" s="1" customFormat="1"/>
    <row r="5568" s="1" customFormat="1"/>
    <row r="5569" s="1" customFormat="1"/>
    <row r="5570" s="1" customFormat="1"/>
    <row r="5571" s="1" customFormat="1"/>
    <row r="5572" s="1" customFormat="1"/>
    <row r="5573" s="1" customFormat="1"/>
    <row r="5574" s="1" customFormat="1"/>
    <row r="5575" s="1" customFormat="1"/>
    <row r="5576" s="1" customFormat="1"/>
    <row r="5577" s="1" customFormat="1"/>
    <row r="5578" s="1" customFormat="1"/>
    <row r="5579" s="1" customFormat="1"/>
    <row r="5580" s="1" customFormat="1"/>
    <row r="5581" s="1" customFormat="1"/>
    <row r="5582" s="1" customFormat="1"/>
    <row r="5583" s="1" customFormat="1"/>
    <row r="5584" s="1" customFormat="1"/>
    <row r="5585" s="1" customFormat="1"/>
    <row r="5586" s="1" customFormat="1"/>
    <row r="5587" s="1" customFormat="1"/>
    <row r="5588" s="1" customFormat="1"/>
    <row r="5589" s="1" customFormat="1"/>
    <row r="5590" s="1" customFormat="1"/>
    <row r="5591" s="1" customFormat="1"/>
    <row r="5592" s="1" customFormat="1"/>
    <row r="5593" s="1" customFormat="1"/>
    <row r="5594" s="1" customFormat="1"/>
    <row r="5595" s="1" customFormat="1"/>
    <row r="5596" s="1" customFormat="1"/>
    <row r="5597" s="1" customFormat="1"/>
    <row r="5598" s="1" customFormat="1"/>
    <row r="5599" s="1" customFormat="1"/>
    <row r="5600" s="1" customFormat="1"/>
    <row r="5601" s="1" customFormat="1"/>
    <row r="5602" s="1" customFormat="1"/>
    <row r="5603" s="1" customFormat="1"/>
    <row r="5604" s="1" customFormat="1"/>
    <row r="5605" s="1" customFormat="1"/>
    <row r="5606" s="1" customFormat="1"/>
    <row r="5607" s="1" customFormat="1"/>
    <row r="5608" s="1" customFormat="1"/>
    <row r="5609" s="1" customFormat="1"/>
    <row r="5610" s="1" customFormat="1"/>
    <row r="5611" s="1" customFormat="1"/>
    <row r="5612" s="1" customFormat="1"/>
    <row r="5613" s="1" customFormat="1"/>
    <row r="5614" s="1" customFormat="1"/>
    <row r="5615" s="1" customFormat="1"/>
    <row r="5616" s="1" customFormat="1"/>
    <row r="5617" s="1" customFormat="1"/>
    <row r="5618" s="1" customFormat="1"/>
    <row r="5619" s="1" customFormat="1"/>
    <row r="5620" s="1" customFormat="1"/>
    <row r="5621" s="1" customFormat="1"/>
    <row r="5622" s="1" customFormat="1"/>
    <row r="5623" s="1" customFormat="1"/>
    <row r="5624" s="1" customFormat="1"/>
    <row r="5625" s="1" customFormat="1"/>
    <row r="5626" s="1" customFormat="1"/>
    <row r="5627" s="1" customFormat="1"/>
    <row r="5628" s="1" customFormat="1"/>
    <row r="5629" s="1" customFormat="1"/>
    <row r="5630" s="1" customFormat="1"/>
    <row r="5631" s="1" customFormat="1"/>
    <row r="5632" s="1" customFormat="1"/>
    <row r="5633" s="1" customFormat="1"/>
    <row r="5634" s="1" customFormat="1"/>
    <row r="5635" s="1" customFormat="1"/>
    <row r="5636" s="1" customFormat="1"/>
    <row r="5637" s="1" customFormat="1"/>
    <row r="5638" s="1" customFormat="1"/>
    <row r="5639" s="1" customFormat="1"/>
    <row r="5640" s="1" customFormat="1"/>
    <row r="5641" s="1" customFormat="1"/>
    <row r="5642" s="1" customFormat="1"/>
    <row r="5643" s="1" customFormat="1"/>
    <row r="5644" s="1" customFormat="1"/>
    <row r="5645" s="1" customFormat="1"/>
    <row r="5646" s="1" customFormat="1"/>
    <row r="5647" s="1" customFormat="1"/>
    <row r="5648" s="1" customFormat="1"/>
    <row r="5649" s="1" customFormat="1"/>
    <row r="5650" s="1" customFormat="1"/>
    <row r="5651" s="1" customFormat="1"/>
    <row r="5652" s="1" customFormat="1"/>
    <row r="5653" s="1" customFormat="1"/>
    <row r="5654" s="1" customFormat="1"/>
    <row r="5655" s="1" customFormat="1"/>
    <row r="5656" s="1" customFormat="1"/>
    <row r="5657" s="1" customFormat="1"/>
    <row r="5658" s="1" customFormat="1"/>
    <row r="5659" s="1" customFormat="1"/>
    <row r="5660" s="1" customFormat="1"/>
    <row r="5661" s="1" customFormat="1"/>
    <row r="5662" s="1" customFormat="1"/>
    <row r="5663" s="1" customFormat="1"/>
    <row r="5664" s="1" customFormat="1"/>
    <row r="5665" s="1" customFormat="1"/>
    <row r="5666" s="1" customFormat="1"/>
    <row r="5667" s="1" customFormat="1"/>
    <row r="5668" s="1" customFormat="1"/>
    <row r="5669" s="1" customFormat="1"/>
    <row r="5670" s="1" customFormat="1"/>
    <row r="5671" s="1" customFormat="1"/>
    <row r="5672" s="1" customFormat="1"/>
    <row r="5673" s="1" customFormat="1"/>
    <row r="5674" s="1" customFormat="1"/>
    <row r="5675" s="1" customFormat="1"/>
    <row r="5676" s="1" customFormat="1"/>
    <row r="5677" s="1" customFormat="1"/>
    <row r="5678" s="1" customFormat="1"/>
    <row r="5679" s="1" customFormat="1"/>
    <row r="5680" s="1" customFormat="1"/>
    <row r="5681" s="1" customFormat="1"/>
    <row r="5682" s="1" customFormat="1"/>
    <row r="5683" s="1" customFormat="1"/>
    <row r="5684" s="1" customFormat="1"/>
    <row r="5685" s="1" customFormat="1"/>
    <row r="5686" s="1" customFormat="1"/>
    <row r="5687" s="1" customFormat="1"/>
    <row r="5688" s="1" customFormat="1"/>
    <row r="5689" s="1" customFormat="1"/>
    <row r="5690" s="1" customFormat="1"/>
    <row r="5691" s="1" customFormat="1"/>
    <row r="5692" s="1" customFormat="1"/>
    <row r="5693" s="1" customFormat="1"/>
    <row r="5694" s="1" customFormat="1"/>
    <row r="5695" s="1" customFormat="1"/>
    <row r="5696" s="1" customFormat="1"/>
    <row r="5697" s="1" customFormat="1"/>
    <row r="5698" s="1" customFormat="1"/>
    <row r="5699" s="1" customFormat="1"/>
    <row r="5700" s="1" customFormat="1"/>
    <row r="5701" s="1" customFormat="1"/>
    <row r="5702" s="1" customFormat="1"/>
    <row r="5703" s="1" customFormat="1"/>
    <row r="5704" s="1" customFormat="1"/>
    <row r="5705" s="1" customFormat="1"/>
    <row r="5706" s="1" customFormat="1"/>
    <row r="5707" s="1" customFormat="1"/>
    <row r="5708" s="1" customFormat="1"/>
    <row r="5709" s="1" customFormat="1"/>
    <row r="5710" s="1" customFormat="1"/>
    <row r="5711" s="1" customFormat="1"/>
    <row r="5712" s="1" customFormat="1"/>
    <row r="5713" s="1" customFormat="1"/>
    <row r="5714" s="1" customFormat="1"/>
    <row r="5715" s="1" customFormat="1"/>
    <row r="5716" s="1" customFormat="1"/>
    <row r="5717" s="1" customFormat="1"/>
    <row r="5718" s="1" customFormat="1"/>
    <row r="5719" s="1" customFormat="1"/>
    <row r="5720" s="1" customFormat="1"/>
    <row r="5721" s="1" customFormat="1"/>
    <row r="5722" s="1" customFormat="1"/>
    <row r="5723" s="1" customFormat="1"/>
    <row r="5724" s="1" customFormat="1"/>
    <row r="5725" s="1" customFormat="1"/>
    <row r="5726" s="1" customFormat="1"/>
    <row r="5727" s="1" customFormat="1"/>
    <row r="5728" s="1" customFormat="1"/>
    <row r="5729" s="1" customFormat="1"/>
    <row r="5730" s="1" customFormat="1"/>
    <row r="5731" s="1" customFormat="1"/>
    <row r="5732" s="1" customFormat="1"/>
    <row r="5733" s="1" customFormat="1"/>
    <row r="5734" s="1" customFormat="1"/>
    <row r="5735" s="1" customFormat="1"/>
    <row r="5736" s="1" customFormat="1"/>
    <row r="5737" s="1" customFormat="1"/>
    <row r="5738" s="1" customFormat="1"/>
    <row r="5739" s="1" customFormat="1"/>
    <row r="5740" s="1" customFormat="1"/>
    <row r="5741" s="1" customFormat="1"/>
    <row r="5742" s="1" customFormat="1"/>
    <row r="5743" s="1" customFormat="1"/>
    <row r="5744" s="1" customFormat="1"/>
    <row r="5745" spans="5:5">
      <c r="E5745" s="1"/>
    </row>
    <row r="5746" spans="5:5">
      <c r="E5746" s="1"/>
    </row>
  </sheetData>
  <mergeCells count="4">
    <mergeCell ref="DD2:EJ2"/>
    <mergeCell ref="EK2:FQ2"/>
    <mergeCell ref="FR2:GZ2"/>
    <mergeCell ref="AI2:BC2"/>
  </mergeCells>
  <phoneticPr fontId="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OBSERVATIONS</vt:lpstr>
      <vt:lpstr>TABLE (observations)</vt:lpstr>
      <vt:lpstr>OBSERVATIONS!Область_печати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LERR EX</cp:lastModifiedBy>
  <cp:lastPrinted>2013-08-18T06:50:08Z</cp:lastPrinted>
  <dcterms:created xsi:type="dcterms:W3CDTF">2010-12-29T09:17:06Z</dcterms:created>
  <dcterms:modified xsi:type="dcterms:W3CDTF">2024-01-10T01:55:06Z</dcterms:modified>
</cp:coreProperties>
</file>